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defaultThemeVersion="124226"/>
  <bookViews>
    <workbookView xWindow="24870" yWindow="540" windowWidth="17250" windowHeight="12645" tabRatio="867"/>
  </bookViews>
  <sheets>
    <sheet name="Power Estimation" sheetId="1" r:id="rId1"/>
    <sheet name="VDD_EXT Power Domain" sheetId="5" r:id="rId2"/>
    <sheet name="VDD_DMC Power Domain" sheetId="13" r:id="rId3"/>
    <sheet name="DMA Data Rate" sheetId="14" r:id="rId4"/>
    <sheet name="Typical Static Current" sheetId="15" r:id="rId5"/>
    <sheet name="Maximum Static Current" sheetId="2" r:id="rId6"/>
    <sheet name="Dynamic Current" sheetId="3" r:id="rId7"/>
    <sheet name="Dynamic Scaling Factors" sheetId="4" r:id="rId8"/>
    <sheet name="ClockSpecs" sheetId="11" r:id="rId9"/>
    <sheet name="Supporting Tables" sheetId="6" r:id="rId10"/>
  </sheets>
  <definedNames>
    <definedName name="_xlnm._FilterDatabase" localSheetId="6" hidden="1">'Dynamic Current'!$E$6:$L$12</definedName>
    <definedName name="_xlnm._FilterDatabase" localSheetId="0" hidden="1">'Power Estimation'!$K$48</definedName>
    <definedName name="_xlnm._FilterDatabase" localSheetId="9" hidden="1">'Supporting Tables'!$B$7:$B$9</definedName>
    <definedName name="ActivityFactor">'Dynamic Scaling Factors'!$C$4:$C$10</definedName>
    <definedName name="ActivityScalingFactor">'Dynamic Scaling Factors'!$C$4:$D$10</definedName>
    <definedName name="CHOICE">'Supporting Tables'!$B$8:$B$9</definedName>
    <definedName name="DDR_BURST">'Supporting Tables'!$C$35:$C$36</definedName>
    <definedName name="DDR2_Freq">ClockSpecs!$E$7</definedName>
    <definedName name="Freq">'Dynamic Current'!$C$6:$C$14</definedName>
    <definedName name="IDD_BASELINE_DYN">'Dynamic Current'!$D$6:$J$14</definedName>
    <definedName name="IDD_DEEPSLEEP_MAX">'Maximum Static Current'!$D$6:$J$17</definedName>
    <definedName name="IDD_DEEPSLEEP_TYP">'Typical Static Current'!$D$6:$J$17</definedName>
    <definedName name="Power_Profile">'Supporting Tables'!$B$22:$B$23</definedName>
    <definedName name="PowerModes">'Supporting Tables'!$B$4:$B$5</definedName>
    <definedName name="ProcessorFamily">'Supporting Tables'!$B$27</definedName>
    <definedName name="PVP_USED">'Supporting Tables'!$B$13:$C$15</definedName>
    <definedName name="SCLK0">ClockSpecs!$E$5</definedName>
    <definedName name="SCLK1">ClockSpecs!$E$6</definedName>
    <definedName name="SYSCLK">ClockSpecs!$E$4</definedName>
    <definedName name="Tj_MAX">'Maximum Static Current'!$C$6:$C$17</definedName>
    <definedName name="Tj_TYP">'Typical Static Current'!$C$6:$C$17</definedName>
    <definedName name="USB_USED">'Supporting Tables'!$B$8:$D$9</definedName>
    <definedName name="VDDDMC_BF60x">'Supporting Tables'!$D$30:$E$30</definedName>
    <definedName name="VDDEXT_BF60x">'Supporting Tables'!$D$29:$E$29</definedName>
    <definedName name="VDDEXT_CALC">'Supporting Tables'!$B$18:$C$19</definedName>
    <definedName name="Vddint_MAX">'Maximum Static Current'!$D$5:$J$5</definedName>
    <definedName name="Vddint_TYP">'Typical Static Current'!$D$5:$J$5</definedName>
    <definedName name="VDDTD_BF60x">'Supporting Tables'!$D$32:$E$32</definedName>
    <definedName name="VDDUSB_BF60x">'Supporting Tables'!$D$31:$E$31</definedName>
  </definedNames>
  <calcPr calcId="145621"/>
</workbook>
</file>

<file path=xl/calcChain.xml><?xml version="1.0" encoding="utf-8"?>
<calcChain xmlns="http://schemas.openxmlformats.org/spreadsheetml/2006/main">
  <c r="L5" i="1" l="1"/>
  <c r="I13" i="5" l="1"/>
  <c r="I12" i="5"/>
  <c r="I11" i="5"/>
  <c r="I10" i="5"/>
  <c r="M64" i="1" l="1"/>
  <c r="M62" i="1" l="1"/>
  <c r="M54" i="1"/>
  <c r="M46" i="1"/>
  <c r="L45" i="1"/>
  <c r="M38" i="1"/>
  <c r="L37" i="1"/>
  <c r="J29" i="1" l="1"/>
  <c r="C14" i="6"/>
  <c r="C13" i="6"/>
  <c r="C10" i="14" l="1"/>
  <c r="E10" i="14"/>
  <c r="F10" i="14" s="1"/>
  <c r="C11" i="14"/>
  <c r="D11" i="14"/>
  <c r="F11" i="14" s="1"/>
  <c r="E11" i="14"/>
  <c r="E12" i="14"/>
  <c r="E16" i="13" l="1"/>
  <c r="E17" i="13"/>
  <c r="E15" i="13"/>
  <c r="E14" i="13"/>
  <c r="D12" i="14"/>
  <c r="D13" i="14"/>
  <c r="E13" i="14"/>
  <c r="C12" i="14"/>
  <c r="C13" i="14"/>
  <c r="J15" i="13"/>
  <c r="J16" i="13"/>
  <c r="J17" i="13"/>
  <c r="J14" i="13"/>
  <c r="F13" i="14" l="1"/>
  <c r="F12" i="14"/>
  <c r="K53" i="1"/>
  <c r="L54" i="1" s="1"/>
  <c r="I13" i="14" l="1"/>
  <c r="J13" i="14" s="1"/>
  <c r="I12" i="14"/>
  <c r="J12" i="14" s="1"/>
  <c r="J12" i="5"/>
  <c r="I11" i="14"/>
  <c r="J11" i="14" s="1"/>
  <c r="J10" i="5"/>
  <c r="I10" i="14"/>
  <c r="J10" i="14" s="1"/>
  <c r="F15" i="14" l="1"/>
  <c r="K18" i="1" s="1"/>
  <c r="K17" i="13" l="1"/>
  <c r="K14" i="13"/>
  <c r="K15" i="13"/>
  <c r="J26" i="1"/>
  <c r="J25" i="1"/>
  <c r="J23" i="1"/>
  <c r="J27" i="1"/>
  <c r="J28" i="1"/>
  <c r="J24" i="1"/>
  <c r="I21" i="1"/>
  <c r="J22" i="1" s="1"/>
  <c r="K16" i="13" l="1"/>
  <c r="K19" i="13" l="1"/>
  <c r="J11" i="5"/>
  <c r="L46" i="1" l="1"/>
  <c r="K45" i="1" s="1"/>
  <c r="J13" i="5"/>
  <c r="J15" i="5" l="1"/>
  <c r="L38" i="1" s="1"/>
  <c r="K37" i="1" s="1"/>
  <c r="J30" i="1" l="1"/>
  <c r="K31" i="1" s="1"/>
  <c r="L32" i="1" l="1"/>
  <c r="K64" i="1" s="1"/>
</calcChain>
</file>

<file path=xl/sharedStrings.xml><?xml version="1.0" encoding="utf-8"?>
<sst xmlns="http://schemas.openxmlformats.org/spreadsheetml/2006/main" count="264" uniqueCount="193">
  <si>
    <t>Table 2: Static Current in mA (IDD_DEEPSLEEP)</t>
  </si>
  <si>
    <t>Power Vector</t>
  </si>
  <si>
    <t>Activities Scaling Factor</t>
  </si>
  <si>
    <t>Full-on Peak</t>
  </si>
  <si>
    <t>Full-on High</t>
  </si>
  <si>
    <t>Full-on Typical</t>
  </si>
  <si>
    <t>Full-on App</t>
  </si>
  <si>
    <t>Full-on NOP</t>
  </si>
  <si>
    <t>Full-on Idle</t>
  </si>
  <si>
    <t>Power Vector Definitions</t>
  </si>
  <si>
    <r>
      <rPr>
        <b/>
        <sz val="11"/>
        <color theme="1"/>
        <rFont val="Calibri"/>
        <family val="2"/>
        <scheme val="minor"/>
      </rPr>
      <t>Idle</t>
    </r>
    <r>
      <rPr>
        <sz val="11"/>
        <color theme="1"/>
        <rFont val="Calibri"/>
        <family val="2"/>
        <scheme val="minor"/>
      </rPr>
      <t xml:space="preserve"> activity is the core executing the IDLE instruction only, with no core memory accesses, no DMA, and no interrupts</t>
    </r>
  </si>
  <si>
    <r>
      <rPr>
        <b/>
        <sz val="11"/>
        <color theme="1"/>
        <rFont val="Calibri"/>
        <family val="2"/>
        <scheme val="minor"/>
      </rPr>
      <t>No-op</t>
    </r>
    <r>
      <rPr>
        <sz val="11"/>
        <color theme="1"/>
        <rFont val="Calibri"/>
        <family val="2"/>
        <scheme val="minor"/>
      </rPr>
      <t xml:space="preserve"> activity is the core executing the NOP instruction only, with no core memory accesses, no DMA, and no interrupts. This is a useful measurement for software-implemented delay loops.</t>
    </r>
  </si>
  <si>
    <r>
      <rPr>
        <b/>
        <sz val="11"/>
        <color theme="1"/>
        <rFont val="Calibri"/>
        <family val="2"/>
        <scheme val="minor"/>
      </rPr>
      <t>Application</t>
    </r>
    <r>
      <rPr>
        <sz val="11"/>
        <color theme="1"/>
        <rFont val="Calibri"/>
        <family val="2"/>
        <scheme val="minor"/>
      </rPr>
      <t xml:space="preserve"> activity is the core executing an application comprised of 30% dual-MAC instructions and 70% load-store and no-op instructions. All instructions and data are located in L1 SRAM, and peripherals are not enabled.</t>
    </r>
  </si>
  <si>
    <r>
      <rPr>
        <b/>
        <sz val="11"/>
        <color theme="1"/>
        <rFont val="Calibri"/>
        <family val="2"/>
        <scheme val="minor"/>
      </rPr>
      <t>Typical</t>
    </r>
    <r>
      <rPr>
        <sz val="11"/>
        <color theme="1"/>
        <rFont val="Calibri"/>
        <family val="2"/>
        <scheme val="minor"/>
      </rPr>
      <t xml:space="preserve"> activity is the core executing an application comprised of 75% dual-MAC instructions and 25% dual-ALU instructions. All instructions and data are located in L1 SRAM, and peripherals are not enabled. This is the test vector used for the dissipation numbers found in the data-sheet.</t>
    </r>
  </si>
  <si>
    <r>
      <rPr>
        <b/>
        <sz val="11"/>
        <color theme="1"/>
        <rFont val="Calibri"/>
        <family val="2"/>
        <scheme val="minor"/>
      </rPr>
      <t>High</t>
    </r>
    <r>
      <rPr>
        <sz val="11"/>
        <color theme="1"/>
        <rFont val="Calibri"/>
        <family val="2"/>
        <scheme val="minor"/>
      </rPr>
      <t xml:space="preserve"> activity is the core executing an application comprised entirely of dual-MAC instructions. All instructions and data are located in L1 SRAM, and peripherals are disabled.</t>
    </r>
  </si>
  <si>
    <r>
      <rPr>
        <b/>
        <sz val="11"/>
        <color theme="1"/>
        <rFont val="Calibri"/>
        <family val="2"/>
        <scheme val="minor"/>
      </rPr>
      <t>Peak</t>
    </r>
    <r>
      <rPr>
        <sz val="11"/>
        <color theme="1"/>
        <rFont val="Calibri"/>
        <family val="2"/>
        <scheme val="minor"/>
      </rPr>
      <t xml:space="preserve"> activity is the core executing 100% dual-MAC instructions fetched from internal memory, with memory DMA moving a data pattern from L1 Data A memory to L1 Data B memory. The bit pattern toggles all bits in each access.</t>
    </r>
  </si>
  <si>
    <t>Yellow cells require data entry (i.e. require your input)</t>
  </si>
  <si>
    <t>Green cells are automatically computed</t>
  </si>
  <si>
    <t>IDD_DEEPSLEEP (mA)</t>
  </si>
  <si>
    <t>Tj (ºC)</t>
  </si>
  <si>
    <t>CCLK_FREQ (MHz)</t>
  </si>
  <si>
    <t>Peripheral</t>
  </si>
  <si>
    <t>Frequency in Hz (f)</t>
  </si>
  <si>
    <t>Number of Output Pins (O)</t>
  </si>
  <si>
    <r>
      <t>Pin Capacitance in Farads (C</t>
    </r>
    <r>
      <rPr>
        <b/>
        <vertAlign val="subscript"/>
        <sz val="10"/>
        <rFont val="Arial"/>
        <family val="2"/>
      </rPr>
      <t>L</t>
    </r>
    <r>
      <rPr>
        <b/>
        <sz val="10"/>
        <rFont val="Arial"/>
        <family val="2"/>
      </rPr>
      <t>)</t>
    </r>
  </si>
  <si>
    <t>Toggle
Ratio (TR)</t>
  </si>
  <si>
    <t>Utilization (U)</t>
  </si>
  <si>
    <r>
      <t>V</t>
    </r>
    <r>
      <rPr>
        <b/>
        <vertAlign val="subscript"/>
        <sz val="10"/>
        <rFont val="Arial"/>
        <family val="2"/>
      </rPr>
      <t>DDEXT</t>
    </r>
    <r>
      <rPr>
        <b/>
        <sz val="10"/>
        <rFont val="Arial"/>
        <family val="2"/>
      </rPr>
      <t xml:space="preserve"> (V)</t>
    </r>
  </si>
  <si>
    <t>Reasoning</t>
  </si>
  <si>
    <t>Single output (UART_TX) @ (100MHz / 16 = 6.25 MHz)</t>
  </si>
  <si>
    <t>Total External Power Dissipation (mW)</t>
  </si>
  <si>
    <t>This use-case, is aggressive on the utilization numbers, but more realistic on frequencies and pin directions</t>
  </si>
  <si>
    <t>Processor Variant</t>
  </si>
  <si>
    <t>VDDEXT</t>
  </si>
  <si>
    <t>Pout (mW)</t>
  </si>
  <si>
    <r>
      <t>P</t>
    </r>
    <r>
      <rPr>
        <vertAlign val="subscript"/>
        <sz val="12"/>
        <color indexed="18"/>
        <rFont val="Courier New"/>
        <family val="3"/>
      </rPr>
      <t>DDEXT</t>
    </r>
    <r>
      <rPr>
        <sz val="12"/>
        <color indexed="18"/>
        <rFont val="Courier New"/>
        <family val="3"/>
      </rPr>
      <t xml:space="preserve"> = [(V</t>
    </r>
    <r>
      <rPr>
        <vertAlign val="subscript"/>
        <sz val="12"/>
        <color indexed="18"/>
        <rFont val="Courier New"/>
        <family val="3"/>
      </rPr>
      <t>DDEXT</t>
    </r>
    <r>
      <rPr>
        <sz val="12"/>
        <color indexed="18"/>
        <rFont val="Courier New"/>
        <family val="3"/>
      </rPr>
      <t>)</t>
    </r>
    <r>
      <rPr>
        <vertAlign val="superscript"/>
        <sz val="12"/>
        <color indexed="18"/>
        <rFont val="Courier New"/>
        <family val="3"/>
      </rPr>
      <t>2</t>
    </r>
    <r>
      <rPr>
        <sz val="12"/>
        <color indexed="18"/>
        <rFont val="Courier New"/>
        <family val="3"/>
      </rPr>
      <t xml:space="preserve"> * C</t>
    </r>
    <r>
      <rPr>
        <vertAlign val="subscript"/>
        <sz val="12"/>
        <color indexed="18"/>
        <rFont val="Courier New"/>
        <family val="3"/>
      </rPr>
      <t>L</t>
    </r>
    <r>
      <rPr>
        <sz val="12"/>
        <color indexed="18"/>
        <rFont val="Courier New"/>
        <family val="3"/>
      </rPr>
      <t xml:space="preserve"> * f/2 * (O*TR) * U]   Watts</t>
    </r>
  </si>
  <si>
    <t>mA</t>
  </si>
  <si>
    <t>Processor Operating Power Mode</t>
  </si>
  <si>
    <t>Full-On</t>
  </si>
  <si>
    <t>Calculated elsewhere</t>
  </si>
  <si>
    <t>IDDINT (µA)</t>
  </si>
  <si>
    <t>Maximum Power</t>
  </si>
  <si>
    <t>Typical Power</t>
  </si>
  <si>
    <t>Relevant Power Domains</t>
  </si>
  <si>
    <t>BF60x</t>
  </si>
  <si>
    <t>Processor Family (Currently only BF60x are supported)</t>
  </si>
  <si>
    <t>VDDUSB</t>
  </si>
  <si>
    <t>VDDDMC</t>
  </si>
  <si>
    <t>VDDTD</t>
  </si>
  <si>
    <t xml:space="preserve">BF60x </t>
  </si>
  <si>
    <t>IDD_SCLK0_DYN(mA)</t>
  </si>
  <si>
    <t>IDD_SCLK1_DYN(mA)</t>
  </si>
  <si>
    <t>IDD_DCLK_DYN(mA)</t>
  </si>
  <si>
    <t>IDD_SCLK0_DYN = 0.217 * VDDINT * SCLK0_FREQ</t>
  </si>
  <si>
    <t>IDD_SYSCLK_DYN = 0.187 * VDDINT * SYSCLK_FREQ</t>
  </si>
  <si>
    <t>IDD_SYSCLK_DYN(mA)</t>
  </si>
  <si>
    <t xml:space="preserve">VDDINT </t>
  </si>
  <si>
    <t>IDD_USBCLK_DYN(mA)</t>
  </si>
  <si>
    <t>IDD_USBCLK_DYN</t>
  </si>
  <si>
    <t>IDD_DMA_DR_DYN(mA)</t>
  </si>
  <si>
    <t xml:space="preserve">IDD_DCLK_DYN = 0.0578*DATARATE * VDDINT </t>
  </si>
  <si>
    <t xml:space="preserve">USB </t>
  </si>
  <si>
    <t>USB Used</t>
  </si>
  <si>
    <t>IDD_PVP</t>
  </si>
  <si>
    <t>PVP Used</t>
  </si>
  <si>
    <t xml:space="preserve">IDD_PVP </t>
  </si>
  <si>
    <t xml:space="preserve">YES </t>
  </si>
  <si>
    <t>NO</t>
  </si>
  <si>
    <t>IDD_INT</t>
  </si>
  <si>
    <t>IDD_INT_PVP</t>
  </si>
  <si>
    <t>Voltage (VDDINT)</t>
  </si>
  <si>
    <t>TJ (°C)</t>
  </si>
  <si>
    <t>fCCLK (MHz)</t>
  </si>
  <si>
    <t>SCLK0_FREQ (MHz)</t>
  </si>
  <si>
    <t>SCLK1_FREQ (MHz)</t>
  </si>
  <si>
    <t>DCLK_FREQ (MHz)</t>
  </si>
  <si>
    <t xml:space="preserve">Activity Factor (refer to the worksheet "Dynamic Scaling Factors")Core 0 </t>
  </si>
  <si>
    <t>Activity Factor (refer to the worksheet "Dynamic Scaling Factors") Core 1</t>
  </si>
  <si>
    <t>IDD_CCLK_DYN (mA)</t>
  </si>
  <si>
    <t xml:space="preserve">IDD_CCLK_DYN =IDD_BASELINE_DYN* (Activity Factor_Core0 +Activity Factor_Core0 ) </t>
  </si>
  <si>
    <t xml:space="preserve">Table 3: CCLK Dynamic Current per core(mA at ASF = 1.0) </t>
  </si>
  <si>
    <t>CCLK Dynamic Current Per Core (mA)</t>
  </si>
  <si>
    <t>CCLK Dynamic Current Per Core (mA) is obtained from the Dynamic Current table</t>
  </si>
  <si>
    <t>Data Rate(Mbytes/second)</t>
  </si>
  <si>
    <t>PVP</t>
  </si>
  <si>
    <r>
      <t xml:space="preserve"> </t>
    </r>
    <r>
      <rPr>
        <sz val="11"/>
        <color indexed="8"/>
        <rFont val="Calibri"/>
        <family val="2"/>
        <scheme val="minor"/>
      </rPr>
      <t xml:space="preserve">Core Clock Frequency (CCLK &gt;= SYSCLK, CSEL &lt;= SYSSEL) </t>
    </r>
    <r>
      <rPr>
        <sz val="11"/>
        <rFont val="Calibri"/>
        <family val="2"/>
        <scheme val="minor"/>
      </rPr>
      <t xml:space="preserve"> </t>
    </r>
  </si>
  <si>
    <r>
      <t xml:space="preserve"> </t>
    </r>
    <r>
      <rPr>
        <sz val="11"/>
        <color indexed="8"/>
        <rFont val="Calibri"/>
        <family val="2"/>
        <scheme val="minor"/>
      </rPr>
      <t xml:space="preserve">SYSCLK Frequency (SYSSEL &lt;= DSEL) </t>
    </r>
    <r>
      <rPr>
        <sz val="11"/>
        <rFont val="Calibri"/>
        <family val="2"/>
        <scheme val="minor"/>
      </rPr>
      <t xml:space="preserve"> </t>
    </r>
  </si>
  <si>
    <r>
      <t xml:space="preserve"> </t>
    </r>
    <r>
      <rPr>
        <sz val="11"/>
        <color indexed="8"/>
        <rFont val="Calibri"/>
        <family val="2"/>
        <scheme val="minor"/>
      </rPr>
      <t xml:space="preserve">SCLK0 Frequency </t>
    </r>
    <r>
      <rPr>
        <sz val="11"/>
        <rFont val="Calibri"/>
        <family val="2"/>
        <scheme val="minor"/>
      </rPr>
      <t xml:space="preserve"> </t>
    </r>
  </si>
  <si>
    <r>
      <t xml:space="preserve"> </t>
    </r>
    <r>
      <rPr>
        <sz val="11"/>
        <color indexed="8"/>
        <rFont val="Calibri"/>
        <family val="2"/>
        <scheme val="minor"/>
      </rPr>
      <t xml:space="preserve">SCLK1 Frequency </t>
    </r>
    <r>
      <rPr>
        <sz val="11"/>
        <rFont val="Calibri"/>
        <family val="2"/>
        <scheme val="minor"/>
      </rPr>
      <t xml:space="preserve"> </t>
    </r>
  </si>
  <si>
    <r>
      <t xml:space="preserve"> </t>
    </r>
    <r>
      <rPr>
        <sz val="11"/>
        <color indexed="8"/>
        <rFont val="Calibri"/>
        <family val="2"/>
        <scheme val="minor"/>
      </rPr>
      <t xml:space="preserve">DDR2/LPDDR Clock Frequency </t>
    </r>
    <r>
      <rPr>
        <sz val="11"/>
        <rFont val="Calibri"/>
        <family val="2"/>
        <scheme val="minor"/>
      </rPr>
      <t xml:space="preserve"> </t>
    </r>
  </si>
  <si>
    <r>
      <t xml:space="preserve"> </t>
    </r>
    <r>
      <rPr>
        <b/>
        <sz val="11"/>
        <color indexed="8"/>
        <rFont val="Calibri"/>
        <family val="2"/>
        <scheme val="minor"/>
      </rPr>
      <t xml:space="preserve">Parameter </t>
    </r>
    <r>
      <rPr>
        <sz val="11"/>
        <rFont val="Calibri"/>
        <family val="2"/>
        <scheme val="minor"/>
      </rPr>
      <t xml:space="preserve"> </t>
    </r>
  </si>
  <si>
    <t>Description</t>
  </si>
  <si>
    <t>Minimum</t>
  </si>
  <si>
    <r>
      <t xml:space="preserve"> </t>
    </r>
    <r>
      <rPr>
        <b/>
        <sz val="11"/>
        <color indexed="8"/>
        <rFont val="Calibri"/>
        <family val="2"/>
        <scheme val="minor"/>
      </rPr>
      <t xml:space="preserve">Maximum </t>
    </r>
    <r>
      <rPr>
        <sz val="11"/>
        <rFont val="Calibri"/>
        <family val="2"/>
        <scheme val="minor"/>
      </rPr>
      <t xml:space="preserve"> </t>
    </r>
  </si>
  <si>
    <r>
      <t xml:space="preserve"> </t>
    </r>
    <r>
      <rPr>
        <b/>
        <sz val="11"/>
        <color indexed="8"/>
        <rFont val="Calibri"/>
        <family val="2"/>
        <scheme val="minor"/>
      </rPr>
      <t xml:space="preserve">Unit </t>
    </r>
    <r>
      <rPr>
        <sz val="11"/>
        <rFont val="Calibri"/>
        <family val="2"/>
        <scheme val="minor"/>
      </rPr>
      <t xml:space="preserve"> </t>
    </r>
  </si>
  <si>
    <r>
      <t xml:space="preserve"> </t>
    </r>
    <r>
      <rPr>
        <sz val="11"/>
        <color indexed="8"/>
        <rFont val="Calibri"/>
        <family val="2"/>
        <scheme val="minor"/>
      </rPr>
      <t xml:space="preserve">fCCLK </t>
    </r>
    <r>
      <rPr>
        <sz val="11"/>
        <rFont val="Calibri"/>
        <family val="2"/>
        <scheme val="minor"/>
      </rPr>
      <t xml:space="preserve"> </t>
    </r>
  </si>
  <si>
    <r>
      <t xml:space="preserve"> </t>
    </r>
    <r>
      <rPr>
        <sz val="11"/>
        <color indexed="8"/>
        <rFont val="Calibri"/>
        <family val="2"/>
        <scheme val="minor"/>
      </rPr>
      <t xml:space="preserve">MHz </t>
    </r>
    <r>
      <rPr>
        <sz val="11"/>
        <rFont val="Calibri"/>
        <family val="2"/>
        <scheme val="minor"/>
      </rPr>
      <t xml:space="preserve"> </t>
    </r>
  </si>
  <si>
    <r>
      <t xml:space="preserve"> </t>
    </r>
    <r>
      <rPr>
        <sz val="11"/>
        <color indexed="8"/>
        <rFont val="Calibri"/>
        <family val="2"/>
        <scheme val="minor"/>
      </rPr>
      <t xml:space="preserve">fSYSCLK </t>
    </r>
    <r>
      <rPr>
        <sz val="11"/>
        <rFont val="Calibri"/>
        <family val="2"/>
        <scheme val="minor"/>
      </rPr>
      <t xml:space="preserve"> </t>
    </r>
  </si>
  <si>
    <r>
      <t xml:space="preserve"> </t>
    </r>
    <r>
      <rPr>
        <sz val="11"/>
        <color indexed="8"/>
        <rFont val="Calibri"/>
        <family val="2"/>
        <scheme val="minor"/>
      </rPr>
      <t>fSCLK0</t>
    </r>
  </si>
  <si>
    <r>
      <t xml:space="preserve"> </t>
    </r>
    <r>
      <rPr>
        <sz val="11"/>
        <color indexed="8"/>
        <rFont val="Calibri"/>
        <family val="2"/>
        <scheme val="minor"/>
      </rPr>
      <t>fSCLK1</t>
    </r>
  </si>
  <si>
    <r>
      <t xml:space="preserve"> </t>
    </r>
    <r>
      <rPr>
        <sz val="11"/>
        <color indexed="8"/>
        <rFont val="Calibri"/>
        <family val="2"/>
        <scheme val="minor"/>
      </rPr>
      <t xml:space="preserve">fDCLK </t>
    </r>
    <r>
      <rPr>
        <sz val="11"/>
        <rFont val="Calibri"/>
        <family val="2"/>
        <scheme val="minor"/>
      </rPr>
      <t xml:space="preserve"> </t>
    </r>
  </si>
  <si>
    <r>
      <t xml:space="preserve"> </t>
    </r>
    <r>
      <rPr>
        <sz val="11"/>
        <color indexed="8"/>
        <rFont val="Calibri"/>
        <family val="2"/>
        <scheme val="minor"/>
      </rPr>
      <t xml:space="preserve">fOCLK </t>
    </r>
    <r>
      <rPr>
        <sz val="11"/>
        <rFont val="Calibri"/>
        <family val="2"/>
        <scheme val="minor"/>
      </rPr>
      <t xml:space="preserve"> </t>
    </r>
  </si>
  <si>
    <r>
      <t xml:space="preserve"> </t>
    </r>
    <r>
      <rPr>
        <sz val="11"/>
        <color indexed="8"/>
        <rFont val="Calibri"/>
        <family val="2"/>
        <scheme val="minor"/>
      </rPr>
      <t xml:space="preserve">Output Clock Frequency </t>
    </r>
    <r>
      <rPr>
        <sz val="11"/>
        <rFont val="Calibri"/>
        <family val="2"/>
        <scheme val="minor"/>
      </rPr>
      <t xml:space="preserve"> </t>
    </r>
  </si>
  <si>
    <t>fPLLCLK</t>
  </si>
  <si>
    <t>PLLCLK Frequency</t>
  </si>
  <si>
    <t>MHz</t>
  </si>
  <si>
    <t>IDD_SCLK1_DYN = 0.042 * VDDINT * SCLK1_FREQ</t>
  </si>
  <si>
    <t>IDD_DCLK_DYN = 0.024 * VDDINT * DCLK_FREQ</t>
  </si>
  <si>
    <t>Total DDR2 Power Dissipation (mW)</t>
  </si>
  <si>
    <t xml:space="preserve">DDR2 </t>
  </si>
  <si>
    <t>Address pins [15:0]</t>
  </si>
  <si>
    <t>Data pins [15:0]</t>
  </si>
  <si>
    <t xml:space="preserve">CTRL </t>
  </si>
  <si>
    <t>CLK</t>
  </si>
  <si>
    <t>VDDINT</t>
  </si>
  <si>
    <t xml:space="preserve">Min </t>
  </si>
  <si>
    <t xml:space="preserve">Nominal </t>
  </si>
  <si>
    <t>Max</t>
  </si>
  <si>
    <t>VDDINT, VDDEXT, VDDDMC, VDDUSB and VDDTD</t>
  </si>
  <si>
    <t xml:space="preserve">SPORT1 </t>
  </si>
  <si>
    <t xml:space="preserve">SPORT0 </t>
  </si>
  <si>
    <t xml:space="preserve">8 bit PPI </t>
  </si>
  <si>
    <r>
      <t>Pin Capacitance in Farads (C</t>
    </r>
    <r>
      <rPr>
        <b/>
        <vertAlign val="subscript"/>
        <sz val="10"/>
        <color rgb="FFFF0000"/>
        <rFont val="Arial"/>
        <family val="2"/>
      </rPr>
      <t>L</t>
    </r>
    <r>
      <rPr>
        <b/>
        <sz val="10"/>
        <color rgb="FFFF0000"/>
        <rFont val="Arial"/>
        <family val="2"/>
      </rPr>
      <t>)</t>
    </r>
  </si>
  <si>
    <t>IDD_USB</t>
  </si>
  <si>
    <t>MIN</t>
  </si>
  <si>
    <t>MAX</t>
  </si>
  <si>
    <t>VDD_EXT user enters min value and calculation based on max value for that particular range</t>
  </si>
  <si>
    <r>
      <t>V</t>
    </r>
    <r>
      <rPr>
        <b/>
        <vertAlign val="subscript"/>
        <sz val="10"/>
        <rFont val="Arial"/>
        <family val="2"/>
      </rPr>
      <t>DDDR</t>
    </r>
    <r>
      <rPr>
        <b/>
        <sz val="10"/>
        <rFont val="Arial"/>
        <family val="2"/>
      </rPr>
      <t xml:space="preserve"> (V)</t>
    </r>
  </si>
  <si>
    <r>
      <t>P</t>
    </r>
    <r>
      <rPr>
        <vertAlign val="subscript"/>
        <sz val="12"/>
        <color indexed="18"/>
        <rFont val="Courier New"/>
        <family val="3"/>
      </rPr>
      <t>DDDR</t>
    </r>
    <r>
      <rPr>
        <sz val="12"/>
        <color indexed="18"/>
        <rFont val="Courier New"/>
        <family val="3"/>
      </rPr>
      <t xml:space="preserve"> = [(V</t>
    </r>
    <r>
      <rPr>
        <vertAlign val="subscript"/>
        <sz val="12"/>
        <color indexed="18"/>
        <rFont val="Courier New"/>
        <family val="3"/>
      </rPr>
      <t>DDDDR</t>
    </r>
    <r>
      <rPr>
        <sz val="12"/>
        <color indexed="18"/>
        <rFont val="Courier New"/>
        <family val="3"/>
      </rPr>
      <t>)</t>
    </r>
    <r>
      <rPr>
        <vertAlign val="superscript"/>
        <sz val="12"/>
        <color indexed="18"/>
        <rFont val="Courier New"/>
        <family val="3"/>
      </rPr>
      <t>2</t>
    </r>
    <r>
      <rPr>
        <sz val="12"/>
        <color indexed="18"/>
        <rFont val="Courier New"/>
        <family val="3"/>
      </rPr>
      <t xml:space="preserve"> * C</t>
    </r>
    <r>
      <rPr>
        <vertAlign val="subscript"/>
        <sz val="12"/>
        <color indexed="18"/>
        <rFont val="Courier New"/>
        <family val="3"/>
      </rPr>
      <t>L</t>
    </r>
    <r>
      <rPr>
        <sz val="12"/>
        <color indexed="18"/>
        <rFont val="Courier New"/>
        <family val="3"/>
      </rPr>
      <t xml:space="preserve"> * f/2 * (O*TR) * U]   Watts</t>
    </r>
  </si>
  <si>
    <t>Data Rate (MBPS)</t>
  </si>
  <si>
    <t xml:space="preserve">UART0 </t>
  </si>
  <si>
    <t xml:space="preserve">Total Data Rate </t>
  </si>
  <si>
    <t xml:space="preserve">Burst Mode </t>
  </si>
  <si>
    <t xml:space="preserve">DMA Burst Mode </t>
  </si>
  <si>
    <t>Divisor</t>
  </si>
  <si>
    <t xml:space="preserve">Power Profile </t>
  </si>
  <si>
    <t>IDD_DEEPSLEEP</t>
  </si>
  <si>
    <t>Data Rate = Data(bits/cycle)*Frequency(MHz)cycles/second*1/8(bytes/bit)*(1/1.048756)MBPS</t>
  </si>
  <si>
    <t xml:space="preserve">A) Press CTRL and Select  External Power Domain , and DMA data Rate worksheet tab </t>
  </si>
  <si>
    <t xml:space="preserve">B) Insert a row in between 10-14 </t>
  </si>
  <si>
    <t>C) Update corresponding entries on both External Power Domain and DMA Data Rate worksheet tab</t>
  </si>
  <si>
    <t xml:space="preserve">Steps to add a new Peripheral for Power Estimation Calculations : </t>
  </si>
  <si>
    <t xml:space="preserve">Steps to delete a Peripheral from Power Estimation Calculations  : </t>
  </si>
  <si>
    <t xml:space="preserve">B) Delete the  row </t>
  </si>
  <si>
    <t>Note: In order to Add/Delete a new peripheral please follow the step below</t>
  </si>
  <si>
    <t xml:space="preserve">Note: DMC supports burst length of 4/8 words </t>
  </si>
  <si>
    <t>27MHz operation, 8-bit data (8 pins @ 0.5 toggle ratio), internal clock generation (1 pin @ 1 toggle ratio), &amp; 2 frame syncs (2 pins @ negligible toggle ratio) ==&gt; (toggle ratio: 0.45). Assume PPI is used for communication ==&gt; Transmit half the time and receive half the time (utilization = 0.5)</t>
  </si>
  <si>
    <t>4MHz operation. Only clock is output. (SCLK/2 is the maximum frequency for internally generated SPORT clock)</t>
  </si>
  <si>
    <t>.115MHz operation</t>
  </si>
  <si>
    <t>DCLK_FREQ/Burst Mode operation,Assume DDR configured for write operation; Worst case execution State of pin changes once every cycle (togle ratio:0.5)</t>
  </si>
  <si>
    <t>DCLK_FREQ operation;Worst case execution State of pin changes once every cycle (togle ratio:0.5)</t>
  </si>
  <si>
    <t>DCLK_FREQ operation;Clk and the differnetial clock signal ;Worst case execution State of pin changes once every cycle (togle ratio:0.5)</t>
  </si>
  <si>
    <t>IDD_INT = IDD_DYN + IDD_SCLK_DYN + IDD_SCLK0_DYN + IDD_SCLK1_DYN + IDD_DCLK_DYN + IDD_DEEPSLEEP</t>
  </si>
  <si>
    <t>PDD_INT = VDD_INT * IDD_INT</t>
  </si>
  <si>
    <t>PDD_INT</t>
  </si>
  <si>
    <t>VDD_EXT (V)</t>
  </si>
  <si>
    <t>PDD_EXT</t>
  </si>
  <si>
    <t>VDD_DMC (V)</t>
  </si>
  <si>
    <t>PDD_DMC</t>
  </si>
  <si>
    <t>VDD_USB (V)</t>
  </si>
  <si>
    <t>PDD_USB</t>
  </si>
  <si>
    <t>PDD_TD</t>
  </si>
  <si>
    <t>SYSCLK_FREQ (MHz)</t>
  </si>
  <si>
    <t>VDD_INT (V)</t>
  </si>
  <si>
    <t>Desired Power Consumption Profile (either typical static or maximum static)</t>
  </si>
  <si>
    <t>Calculated based on DMA data rates in the DMA Data Rate Tab</t>
  </si>
  <si>
    <t>Disabled</t>
  </si>
  <si>
    <r>
      <rPr>
        <b/>
        <sz val="11"/>
        <color theme="1"/>
        <rFont val="Calibri"/>
        <family val="2"/>
        <scheme val="minor"/>
      </rPr>
      <t>Disabled</t>
    </r>
    <r>
      <rPr>
        <sz val="11"/>
        <color theme="1"/>
        <rFont val="Calibri"/>
        <family val="2"/>
        <scheme val="minor"/>
      </rPr>
      <t xml:space="preserve"> means that the clock to the core is gated</t>
    </r>
  </si>
  <si>
    <t>This is an example use-case, is aggressive on the utilization numbers, but more realistic on frequencies and pin directions</t>
  </si>
  <si>
    <t>2x DCLK_FREQ operation, Assume DDR configured for write operation;Worst case execution State of pin changes once every cycle  (togle ratio:0.5)</t>
  </si>
  <si>
    <t>Total Estimated Chip Power</t>
  </si>
  <si>
    <t>This is an example use case</t>
  </si>
  <si>
    <t>Number of Data Bits</t>
  </si>
  <si>
    <t>Prelimary Specifications - Subject to Change</t>
  </si>
  <si>
    <t>Check Data Sheet for min/max value</t>
  </si>
  <si>
    <t xml:space="preserve">Contribution is in nano watt (nW) range and therefore below the threshold of accuracy for this estimation tool. </t>
  </si>
  <si>
    <t>Calculated from Typical Static Current Table</t>
  </si>
  <si>
    <t>Calculated from Max Static Current Table</t>
  </si>
  <si>
    <t>WARNING: Typical power is in the middle of the product distribution.  A significant number of devices will exceed typical power.  It is recommended that maximum power is used for system analysis.</t>
  </si>
  <si>
    <t>If USB is used it contributes to power dissipation in both the VDDINT and VDDUSB domains</t>
  </si>
  <si>
    <t>NOT USED</t>
  </si>
  <si>
    <t>High Activity</t>
  </si>
  <si>
    <t>Medium Activity</t>
  </si>
  <si>
    <t>IDD_DEEPSLEEP is obtained from the max or typical Static Current table depending on user input</t>
  </si>
  <si>
    <t>mW</t>
  </si>
  <si>
    <t>Typical PDD_TOTAL (µW)</t>
  </si>
  <si>
    <t>Processor Power Operating Mode</t>
  </si>
  <si>
    <t>Full-On IDD_EXT</t>
  </si>
  <si>
    <t>Full-On IDD_DMC</t>
  </si>
  <si>
    <t>Full-On IDD_USB</t>
  </si>
  <si>
    <t>Hibernate (Typical)</t>
  </si>
  <si>
    <t>The information is this document is based on characterization data and is intended for product evaluation only.  The maximum power consumption for any application depends on operating conditions, final published static power data, thermal conditions, system design, and the software being executed. Consult the Operating Conditions section of the ADSP-BF60x Data Sheet for VDD_INT, VDD_EXT, VDD_DMC, VDD_USB, and VDD_TD requirements.</t>
  </si>
  <si>
    <t>Estimating Blackfin Power (BF606/BF607/BF608/BF609) - Revision 0.3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</si>
</sst>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8" x14ac:knownFonts="1">
    <font>
      <sz val="11"/>
      <color theme="1"/>
      <name val="Calibri"/>
      <family val="2"/>
      <scheme val="minor"/>
    </font>
    <font>
      <b/>
      <sz val="11"/>
      <color theme="1"/>
      <name val="Calibri"/>
      <family val="2"/>
      <scheme val="minor"/>
    </font>
    <font>
      <sz val="24"/>
      <color theme="1"/>
      <name val="Calibri"/>
      <family val="2"/>
      <scheme val="minor"/>
    </font>
    <font>
      <b/>
      <sz val="10"/>
      <name val="Arial"/>
      <family val="2"/>
    </font>
    <font>
      <b/>
      <vertAlign val="subscript"/>
      <sz val="10"/>
      <name val="Arial"/>
      <family val="2"/>
    </font>
    <font>
      <sz val="10"/>
      <name val="Arial"/>
      <family val="2"/>
    </font>
    <font>
      <sz val="10"/>
      <name val="Times New Roman"/>
      <family val="1"/>
    </font>
    <font>
      <b/>
      <i/>
      <sz val="10"/>
      <name val="Arial"/>
      <family val="2"/>
    </font>
    <font>
      <sz val="11"/>
      <color rgb="FFFF0000"/>
      <name val="Calibri"/>
      <family val="2"/>
      <scheme val="minor"/>
    </font>
    <font>
      <sz val="14"/>
      <color theme="1"/>
      <name val="Calibri"/>
      <family val="2"/>
      <scheme val="minor"/>
    </font>
    <font>
      <sz val="12"/>
      <color indexed="18"/>
      <name val="Courier New"/>
      <family val="3"/>
    </font>
    <font>
      <vertAlign val="subscript"/>
      <sz val="12"/>
      <color indexed="18"/>
      <name val="Courier New"/>
      <family val="3"/>
    </font>
    <font>
      <vertAlign val="superscript"/>
      <sz val="12"/>
      <color indexed="18"/>
      <name val="Courier New"/>
      <family val="3"/>
    </font>
    <font>
      <b/>
      <sz val="26"/>
      <color theme="1"/>
      <name val="Calibri"/>
      <family val="2"/>
      <scheme val="minor"/>
    </font>
    <font>
      <sz val="26"/>
      <color theme="1"/>
      <name val="Calibri"/>
      <family val="2"/>
      <scheme val="minor"/>
    </font>
    <font>
      <sz val="11"/>
      <name val="Calibri"/>
      <family val="2"/>
      <scheme val="minor"/>
    </font>
    <font>
      <sz val="11"/>
      <color rgb="FF00B050"/>
      <name val="Calibri"/>
      <family val="2"/>
      <scheme val="minor"/>
    </font>
    <font>
      <sz val="11"/>
      <color indexed="8"/>
      <name val="Calibri"/>
      <family val="2"/>
      <scheme val="minor"/>
    </font>
    <font>
      <b/>
      <sz val="11"/>
      <color indexed="8"/>
      <name val="Calibri"/>
      <family val="2"/>
      <scheme val="minor"/>
    </font>
    <font>
      <b/>
      <sz val="10"/>
      <color rgb="FFFF0000"/>
      <name val="Arial"/>
      <family val="2"/>
    </font>
    <font>
      <b/>
      <vertAlign val="subscript"/>
      <sz val="10"/>
      <color rgb="FFFF0000"/>
      <name val="Arial"/>
      <family val="2"/>
    </font>
    <font>
      <b/>
      <sz val="11"/>
      <color rgb="FFFF0000"/>
      <name val="Calibri"/>
      <family val="2"/>
      <scheme val="minor"/>
    </font>
    <font>
      <b/>
      <sz val="12"/>
      <color indexed="18"/>
      <name val="Courier New"/>
      <family val="3"/>
    </font>
    <font>
      <b/>
      <sz val="14"/>
      <color rgb="FF000000"/>
      <name val="Arial"/>
      <family val="2"/>
    </font>
    <font>
      <b/>
      <sz val="18"/>
      <color theme="1"/>
      <name val="Calibri"/>
      <family val="2"/>
      <scheme val="minor"/>
    </font>
    <font>
      <b/>
      <sz val="20"/>
      <color theme="1"/>
      <name val="Calibri"/>
      <family val="2"/>
      <scheme val="minor"/>
    </font>
    <font>
      <sz val="20"/>
      <color theme="1"/>
      <name val="Calibri"/>
      <family val="2"/>
      <scheme val="minor"/>
    </font>
    <font>
      <b/>
      <sz val="12"/>
      <color rgb="FFFF0000"/>
      <name val="Arial"/>
      <family val="2"/>
    </font>
  </fonts>
  <fills count="8">
    <fill>
      <patternFill patternType="none"/>
    </fill>
    <fill>
      <patternFill patternType="gray125"/>
    </fill>
    <fill>
      <patternFill patternType="solid">
        <fgColor rgb="FFFFFF00"/>
        <bgColor indexed="64"/>
      </patternFill>
    </fill>
    <fill>
      <patternFill patternType="solid">
        <fgColor indexed="11"/>
        <bgColor indexed="64"/>
      </patternFill>
    </fill>
    <fill>
      <patternFill patternType="solid">
        <fgColor indexed="53"/>
        <bgColor indexed="64"/>
      </patternFill>
    </fill>
    <fill>
      <patternFill patternType="solid">
        <fgColor indexed="46"/>
        <bgColor indexed="64"/>
      </patternFill>
    </fill>
    <fill>
      <patternFill patternType="solid">
        <fgColor rgb="FF00B050"/>
        <bgColor indexed="64"/>
      </patternFill>
    </fill>
    <fill>
      <patternFill patternType="solid">
        <fgColor theme="0"/>
        <bgColor indexed="64"/>
      </patternFill>
    </fill>
  </fills>
  <borders count="45">
    <border>
      <left/>
      <right/>
      <top/>
      <bottom/>
      <diagonal/>
    </border>
    <border>
      <left style="medium">
        <color auto="1"/>
      </left>
      <right style="medium">
        <color auto="1"/>
      </right>
      <top style="medium">
        <color auto="1"/>
      </top>
      <bottom style="medium">
        <color auto="1"/>
      </bottom>
      <diagonal/>
    </border>
    <border>
      <left/>
      <right/>
      <top style="double">
        <color auto="1"/>
      </top>
      <bottom/>
      <diagonal/>
    </border>
    <border>
      <left/>
      <right/>
      <top/>
      <bottom style="double">
        <color auto="1"/>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88">
    <xf numFmtId="0" fontId="0" fillId="0" borderId="0" xfId="0"/>
    <xf numFmtId="0" fontId="1" fillId="0" borderId="0" xfId="0" applyFont="1"/>
    <xf numFmtId="0" fontId="0" fillId="0" borderId="0" xfId="0" applyAlignment="1">
      <alignment horizontal="center"/>
    </xf>
    <xf numFmtId="0" fontId="1" fillId="0" borderId="0" xfId="0" applyFont="1" applyAlignment="1">
      <alignment horizontal="center"/>
    </xf>
    <xf numFmtId="0" fontId="1" fillId="0" borderId="0" xfId="0" applyFont="1" applyAlignment="1"/>
    <xf numFmtId="0" fontId="0" fillId="0" borderId="0" xfId="0" applyAlignment="1"/>
    <xf numFmtId="0" fontId="0" fillId="0" borderId="0" xfId="0" applyNumberFormat="1"/>
    <xf numFmtId="0" fontId="0" fillId="0" borderId="0" xfId="0" applyFill="1"/>
    <xf numFmtId="0" fontId="0" fillId="0" borderId="3" xfId="0" applyBorder="1"/>
    <xf numFmtId="0" fontId="3" fillId="0" borderId="6" xfId="0" applyFont="1" applyBorder="1" applyAlignment="1">
      <alignment horizontal="center"/>
    </xf>
    <xf numFmtId="0" fontId="3" fillId="0" borderId="6" xfId="0" applyFont="1" applyBorder="1" applyAlignment="1">
      <alignment horizontal="center" wrapText="1"/>
    </xf>
    <xf numFmtId="0" fontId="3" fillId="0" borderId="7" xfId="0" applyFont="1" applyBorder="1" applyAlignment="1">
      <alignment horizontal="center"/>
    </xf>
    <xf numFmtId="0" fontId="3" fillId="0" borderId="8" xfId="0" applyFont="1" applyBorder="1" applyAlignment="1">
      <alignment horizontal="center"/>
    </xf>
    <xf numFmtId="0" fontId="0" fillId="0" borderId="9" xfId="0" applyBorder="1" applyAlignment="1">
      <alignment horizontal="center"/>
    </xf>
    <xf numFmtId="2" fontId="5" fillId="0" borderId="11" xfId="0" applyNumberFormat="1" applyFont="1" applyBorder="1" applyAlignment="1">
      <alignment horizontal="left" wrapText="1"/>
    </xf>
    <xf numFmtId="0" fontId="6" fillId="3" borderId="9" xfId="0" applyFont="1" applyFill="1" applyBorder="1"/>
    <xf numFmtId="0" fontId="6" fillId="4" borderId="9" xfId="0" applyFont="1" applyFill="1" applyBorder="1" applyAlignment="1">
      <alignment vertical="top" wrapText="1"/>
    </xf>
    <xf numFmtId="11" fontId="0" fillId="0" borderId="12" xfId="0" applyNumberFormat="1" applyBorder="1" applyAlignment="1">
      <alignment horizontal="center"/>
    </xf>
    <xf numFmtId="0" fontId="6" fillId="5" borderId="9" xfId="0" applyFont="1" applyFill="1" applyBorder="1"/>
    <xf numFmtId="2" fontId="5" fillId="0" borderId="14" xfId="0" applyNumberFormat="1" applyFont="1" applyBorder="1" applyAlignment="1">
      <alignment horizontal="left" wrapText="1"/>
    </xf>
    <xf numFmtId="0" fontId="5" fillId="0" borderId="16" xfId="0" applyFont="1" applyBorder="1" applyAlignment="1">
      <alignment wrapText="1"/>
    </xf>
    <xf numFmtId="11" fontId="0" fillId="0" borderId="20" xfId="0" applyNumberFormat="1" applyBorder="1" applyAlignment="1">
      <alignment horizontal="center"/>
    </xf>
    <xf numFmtId="0" fontId="0" fillId="0" borderId="20" xfId="0" applyBorder="1" applyAlignment="1">
      <alignment horizontal="center"/>
    </xf>
    <xf numFmtId="2" fontId="5" fillId="0" borderId="21" xfId="0" applyNumberFormat="1" applyFont="1" applyBorder="1" applyAlignment="1">
      <alignment horizontal="left" wrapText="1"/>
    </xf>
    <xf numFmtId="0" fontId="5" fillId="0" borderId="0" xfId="0" applyFont="1" applyBorder="1"/>
    <xf numFmtId="11" fontId="0" fillId="0" borderId="0" xfId="0" applyNumberFormat="1" applyBorder="1" applyAlignment="1">
      <alignment horizontal="center"/>
    </xf>
    <xf numFmtId="0" fontId="0" fillId="0" borderId="0" xfId="0" applyBorder="1" applyAlignment="1">
      <alignment horizontal="center"/>
    </xf>
    <xf numFmtId="2" fontId="0" fillId="0" borderId="0" xfId="0" applyNumberFormat="1" applyBorder="1" applyAlignment="1">
      <alignment horizontal="center"/>
    </xf>
    <xf numFmtId="2" fontId="5" fillId="0" borderId="0" xfId="0" applyNumberFormat="1" applyFont="1" applyBorder="1" applyAlignment="1">
      <alignment horizontal="left" wrapText="1"/>
    </xf>
    <xf numFmtId="0" fontId="7" fillId="0" borderId="0" xfId="0" applyFont="1"/>
    <xf numFmtId="0" fontId="3" fillId="0" borderId="0" xfId="0" applyFont="1"/>
    <xf numFmtId="2" fontId="5" fillId="0" borderId="0" xfId="0" applyNumberFormat="1" applyFont="1" applyFill="1" applyBorder="1" applyAlignment="1">
      <alignment horizontal="left" wrapText="1"/>
    </xf>
    <xf numFmtId="0" fontId="10" fillId="0" borderId="0" xfId="0" applyFont="1" applyAlignment="1">
      <alignment horizontal="left"/>
    </xf>
    <xf numFmtId="0" fontId="8" fillId="0" borderId="0" xfId="0" applyFont="1"/>
    <xf numFmtId="0" fontId="0" fillId="0" borderId="2" xfId="0" applyBorder="1"/>
    <xf numFmtId="0" fontId="14" fillId="0" borderId="0" xfId="0" applyFont="1" applyAlignment="1"/>
    <xf numFmtId="0" fontId="0" fillId="0" borderId="0" xfId="0" applyAlignment="1">
      <alignment textRotation="90"/>
    </xf>
    <xf numFmtId="0" fontId="0" fillId="6" borderId="0" xfId="0" applyFill="1"/>
    <xf numFmtId="0" fontId="0" fillId="0" borderId="0" xfId="0" applyBorder="1"/>
    <xf numFmtId="2" fontId="0" fillId="6" borderId="9" xfId="0" applyNumberFormat="1" applyFill="1" applyBorder="1" applyAlignment="1">
      <alignment horizontal="center"/>
    </xf>
    <xf numFmtId="2" fontId="0" fillId="6" borderId="10" xfId="0" applyNumberFormat="1" applyFill="1" applyBorder="1" applyAlignment="1">
      <alignment horizontal="center"/>
    </xf>
    <xf numFmtId="2" fontId="0" fillId="6" borderId="13" xfId="0" applyNumberFormat="1" applyFill="1" applyBorder="1" applyAlignment="1">
      <alignment horizontal="center"/>
    </xf>
    <xf numFmtId="2" fontId="0" fillId="6" borderId="20" xfId="0" applyNumberFormat="1" applyFill="1" applyBorder="1" applyAlignment="1">
      <alignment horizontal="center"/>
    </xf>
    <xf numFmtId="2" fontId="3" fillId="6" borderId="2" xfId="0" applyNumberFormat="1" applyFont="1" applyFill="1" applyBorder="1" applyAlignment="1">
      <alignment horizontal="center"/>
    </xf>
    <xf numFmtId="2" fontId="0" fillId="6" borderId="3" xfId="0" applyNumberFormat="1" applyFill="1" applyBorder="1"/>
    <xf numFmtId="0" fontId="1" fillId="0" borderId="0" xfId="0" applyFont="1" applyAlignment="1"/>
    <xf numFmtId="0" fontId="16" fillId="0" borderId="0" xfId="0" applyFont="1"/>
    <xf numFmtId="0" fontId="16" fillId="0" borderId="0" xfId="0" applyFont="1" applyAlignment="1">
      <alignment horizontal="center"/>
    </xf>
    <xf numFmtId="0" fontId="0" fillId="0" borderId="0" xfId="0" applyAlignment="1"/>
    <xf numFmtId="0" fontId="0" fillId="0" borderId="0" xfId="0" applyAlignment="1">
      <alignment textRotation="90"/>
    </xf>
    <xf numFmtId="0" fontId="1" fillId="0" borderId="0" xfId="0" applyFont="1" applyAlignment="1"/>
    <xf numFmtId="0" fontId="1" fillId="0" borderId="0" xfId="0" applyFont="1" applyAlignment="1">
      <alignment horizontal="center"/>
    </xf>
    <xf numFmtId="0" fontId="1" fillId="0" borderId="0" xfId="0" applyFont="1" applyBorder="1" applyAlignment="1">
      <alignment horizontal="center"/>
    </xf>
    <xf numFmtId="0" fontId="10" fillId="0" borderId="0" xfId="0" applyFont="1" applyAlignment="1">
      <alignment horizontal="left"/>
    </xf>
    <xf numFmtId="0" fontId="1" fillId="0" borderId="28" xfId="0" applyFont="1" applyBorder="1" applyAlignment="1">
      <alignment horizontal="center"/>
    </xf>
    <xf numFmtId="0" fontId="0" fillId="0" borderId="30" xfId="0" applyBorder="1" applyAlignment="1">
      <alignment horizontal="center"/>
    </xf>
    <xf numFmtId="0" fontId="0" fillId="0" borderId="32" xfId="0" applyBorder="1" applyAlignment="1">
      <alignment horizontal="center"/>
    </xf>
    <xf numFmtId="0" fontId="1" fillId="0" borderId="0" xfId="0" applyFont="1" applyBorder="1" applyAlignment="1"/>
    <xf numFmtId="0" fontId="0" fillId="2" borderId="1" xfId="0" applyFill="1" applyBorder="1" applyAlignment="1">
      <alignment horizontal="center"/>
    </xf>
    <xf numFmtId="0" fontId="0" fillId="2" borderId="1" xfId="0" applyFont="1" applyFill="1" applyBorder="1" applyAlignment="1">
      <alignment horizontal="center"/>
    </xf>
    <xf numFmtId="2" fontId="0" fillId="6" borderId="3" xfId="0" applyNumberFormat="1" applyFill="1" applyBorder="1" applyAlignment="1">
      <alignment horizontal="center"/>
    </xf>
    <xf numFmtId="0" fontId="0" fillId="0" borderId="2" xfId="0" applyBorder="1" applyAlignment="1">
      <alignment horizontal="center"/>
    </xf>
    <xf numFmtId="0" fontId="0" fillId="0" borderId="0" xfId="0" applyFont="1"/>
    <xf numFmtId="0" fontId="0" fillId="0" borderId="0" xfId="0" applyAlignment="1">
      <alignment horizontal="center" vertical="center"/>
    </xf>
    <xf numFmtId="2" fontId="0" fillId="0" borderId="0" xfId="0" applyNumberFormat="1"/>
    <xf numFmtId="2" fontId="0" fillId="6" borderId="0" xfId="0" applyNumberFormat="1" applyFill="1"/>
    <xf numFmtId="2" fontId="0" fillId="6" borderId="2" xfId="0" applyNumberFormat="1" applyFill="1" applyBorder="1"/>
    <xf numFmtId="0" fontId="10" fillId="0" borderId="0" xfId="0" applyFont="1" applyAlignment="1">
      <alignment horizontal="left"/>
    </xf>
    <xf numFmtId="0" fontId="0" fillId="0" borderId="0" xfId="0" applyAlignment="1"/>
    <xf numFmtId="0" fontId="3" fillId="0" borderId="4" xfId="0" applyFont="1" applyBorder="1" applyAlignment="1"/>
    <xf numFmtId="0" fontId="10" fillId="0" borderId="0" xfId="0" applyFont="1" applyAlignment="1">
      <alignment horizontal="left"/>
    </xf>
    <xf numFmtId="0" fontId="0" fillId="0" borderId="6" xfId="0" applyBorder="1" applyAlignment="1">
      <alignment horizontal="center"/>
    </xf>
    <xf numFmtId="0" fontId="0" fillId="0" borderId="8" xfId="0" applyBorder="1" applyAlignment="1">
      <alignment horizontal="center"/>
    </xf>
    <xf numFmtId="0" fontId="0" fillId="0" borderId="11" xfId="0" applyBorder="1" applyAlignment="1">
      <alignment horizontal="center"/>
    </xf>
    <xf numFmtId="0" fontId="0" fillId="0" borderId="21" xfId="0" applyBorder="1" applyAlignment="1">
      <alignment horizontal="center"/>
    </xf>
    <xf numFmtId="2" fontId="0" fillId="6" borderId="36" xfId="0" applyNumberFormat="1" applyFill="1" applyBorder="1" applyAlignment="1">
      <alignment horizontal="center"/>
    </xf>
    <xf numFmtId="11" fontId="0" fillId="2" borderId="9" xfId="0" applyNumberFormat="1" applyFill="1" applyBorder="1" applyAlignment="1">
      <alignment horizontal="center"/>
    </xf>
    <xf numFmtId="11" fontId="0" fillId="2" borderId="20" xfId="0" applyNumberFormat="1" applyFill="1" applyBorder="1" applyAlignment="1">
      <alignment horizontal="center"/>
    </xf>
    <xf numFmtId="0" fontId="0" fillId="2" borderId="9" xfId="0" applyFill="1" applyBorder="1" applyAlignment="1">
      <alignment horizontal="center"/>
    </xf>
    <xf numFmtId="2" fontId="0" fillId="2" borderId="9" xfId="0" applyNumberFormat="1" applyFill="1" applyBorder="1" applyAlignment="1">
      <alignment horizontal="center"/>
    </xf>
    <xf numFmtId="0" fontId="0" fillId="2" borderId="20" xfId="0" applyFill="1" applyBorder="1" applyAlignment="1">
      <alignment horizontal="center"/>
    </xf>
    <xf numFmtId="2" fontId="0" fillId="2" borderId="20" xfId="0" applyNumberFormat="1" applyFill="1" applyBorder="1" applyAlignment="1">
      <alignment horizontal="center"/>
    </xf>
    <xf numFmtId="11" fontId="0" fillId="2" borderId="12" xfId="0" applyNumberFormat="1" applyFill="1" applyBorder="1" applyAlignment="1">
      <alignment horizontal="center"/>
    </xf>
    <xf numFmtId="0" fontId="0" fillId="2" borderId="12" xfId="0" applyFill="1" applyBorder="1" applyAlignment="1">
      <alignment horizontal="center"/>
    </xf>
    <xf numFmtId="0" fontId="0" fillId="2" borderId="19" xfId="0" applyFill="1" applyBorder="1" applyAlignment="1">
      <alignment horizontal="center"/>
    </xf>
    <xf numFmtId="0" fontId="19" fillId="0" borderId="6" xfId="0" applyFont="1" applyBorder="1" applyAlignment="1">
      <alignment horizontal="center" wrapText="1"/>
    </xf>
    <xf numFmtId="0" fontId="1" fillId="0" borderId="20" xfId="0" applyFont="1" applyBorder="1" applyAlignment="1">
      <alignment horizontal="center"/>
    </xf>
    <xf numFmtId="0" fontId="1" fillId="0" borderId="21" xfId="0" applyFont="1" applyBorder="1" applyAlignment="1">
      <alignment horizontal="center"/>
    </xf>
    <xf numFmtId="0" fontId="21" fillId="0" borderId="0" xfId="0" applyFont="1"/>
    <xf numFmtId="2" fontId="0" fillId="6" borderId="0" xfId="0" applyNumberFormat="1" applyFill="1" applyAlignment="1">
      <alignment horizontal="center"/>
    </xf>
    <xf numFmtId="0" fontId="1" fillId="0" borderId="34" xfId="0" applyFont="1" applyBorder="1" applyAlignment="1">
      <alignment horizontal="center" vertical="center"/>
    </xf>
    <xf numFmtId="0" fontId="1" fillId="0" borderId="27" xfId="0" applyFont="1" applyBorder="1" applyAlignment="1">
      <alignment horizontal="center" vertical="center"/>
    </xf>
    <xf numFmtId="0" fontId="0" fillId="0" borderId="31" xfId="0" applyBorder="1" applyAlignment="1">
      <alignment horizontal="center" vertical="center"/>
    </xf>
    <xf numFmtId="0" fontId="0" fillId="0" borderId="29" xfId="0"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34" xfId="0" applyBorder="1" applyAlignment="1">
      <alignment horizontal="center" vertical="center"/>
    </xf>
    <xf numFmtId="0" fontId="8" fillId="0" borderId="0" xfId="0" applyFont="1" applyAlignment="1">
      <alignment horizontal="left"/>
    </xf>
    <xf numFmtId="0" fontId="1" fillId="0" borderId="0" xfId="0" applyFont="1" applyBorder="1" applyAlignment="1">
      <alignment horizontal="center" vertical="center"/>
    </xf>
    <xf numFmtId="0" fontId="0" fillId="0" borderId="0" xfId="0" applyBorder="1" applyAlignment="1">
      <alignment horizontal="center" vertical="center"/>
    </xf>
    <xf numFmtId="0" fontId="10" fillId="0" borderId="0" xfId="0" applyFont="1" applyAlignment="1"/>
    <xf numFmtId="0" fontId="3" fillId="0" borderId="38" xfId="0" applyFont="1" applyBorder="1" applyAlignment="1">
      <alignment horizontal="center" wrapText="1"/>
    </xf>
    <xf numFmtId="0" fontId="3" fillId="0" borderId="39" xfId="0" applyFont="1" applyBorder="1" applyAlignment="1">
      <alignment horizontal="center"/>
    </xf>
    <xf numFmtId="0" fontId="3" fillId="0" borderId="40" xfId="0" applyFont="1" applyBorder="1" applyAlignment="1">
      <alignment horizontal="center"/>
    </xf>
    <xf numFmtId="2" fontId="5" fillId="0" borderId="42" xfId="0" applyNumberFormat="1" applyFont="1" applyBorder="1" applyAlignment="1">
      <alignment horizontal="left" wrapText="1"/>
    </xf>
    <xf numFmtId="0" fontId="0" fillId="6" borderId="41" xfId="0" applyFill="1" applyBorder="1" applyAlignment="1"/>
    <xf numFmtId="11" fontId="0" fillId="0" borderId="0" xfId="0" applyNumberFormat="1" applyAlignment="1">
      <alignment horizontal="center"/>
    </xf>
    <xf numFmtId="11" fontId="3" fillId="0" borderId="38" xfId="0" applyNumberFormat="1" applyFont="1" applyBorder="1" applyAlignment="1">
      <alignment horizontal="center"/>
    </xf>
    <xf numFmtId="0" fontId="1" fillId="0" borderId="25" xfId="0" applyFont="1" applyBorder="1" applyAlignment="1">
      <alignment horizontal="center" vertical="center"/>
    </xf>
    <xf numFmtId="0" fontId="0" fillId="0" borderId="26" xfId="0" applyBorder="1" applyAlignment="1">
      <alignment horizontal="center" vertical="center"/>
    </xf>
    <xf numFmtId="0" fontId="1" fillId="0" borderId="28" xfId="0" applyFont="1"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30" xfId="0" applyFont="1" applyBorder="1" applyAlignment="1">
      <alignment horizontal="center" vertical="center"/>
    </xf>
    <xf numFmtId="0" fontId="1" fillId="0" borderId="20" xfId="0" applyFont="1"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20" xfId="0" applyBorder="1" applyAlignment="1">
      <alignment horizontal="center" vertical="center"/>
    </xf>
    <xf numFmtId="0" fontId="3" fillId="0" borderId="27" xfId="0" applyFont="1" applyBorder="1" applyAlignment="1"/>
    <xf numFmtId="0" fontId="0" fillId="2" borderId="12" xfId="0" applyNumberFormat="1" applyFill="1" applyBorder="1" applyAlignment="1">
      <alignment horizontal="center"/>
    </xf>
    <xf numFmtId="11" fontId="8" fillId="2" borderId="9" xfId="0" applyNumberFormat="1" applyFont="1" applyFill="1" applyBorder="1" applyAlignment="1">
      <alignment horizontal="center"/>
    </xf>
    <xf numFmtId="2" fontId="15" fillId="2" borderId="12" xfId="0" applyNumberFormat="1" applyFont="1" applyFill="1" applyBorder="1" applyAlignment="1">
      <alignment horizontal="center"/>
    </xf>
    <xf numFmtId="2" fontId="15" fillId="2" borderId="20" xfId="0" applyNumberFormat="1" applyFont="1" applyFill="1" applyBorder="1" applyAlignment="1">
      <alignment horizont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11" fontId="0" fillId="6" borderId="22" xfId="0" applyNumberFormat="1" applyFill="1" applyBorder="1" applyAlignment="1"/>
    <xf numFmtId="2" fontId="0" fillId="6" borderId="23" xfId="0" applyNumberFormat="1" applyFill="1" applyBorder="1" applyAlignment="1">
      <alignment horizontal="center"/>
    </xf>
    <xf numFmtId="0" fontId="0" fillId="2" borderId="37" xfId="0" applyFill="1" applyBorder="1" applyAlignment="1">
      <alignment horizontal="center"/>
    </xf>
    <xf numFmtId="0" fontId="0" fillId="2" borderId="43" xfId="0" applyFill="1" applyBorder="1" applyAlignment="1">
      <alignment horizontal="center"/>
    </xf>
    <xf numFmtId="0" fontId="0" fillId="2" borderId="44" xfId="0" applyFill="1" applyBorder="1" applyAlignment="1">
      <alignment horizontal="center"/>
    </xf>
    <xf numFmtId="0" fontId="8" fillId="2" borderId="12" xfId="0" applyFont="1" applyFill="1" applyBorder="1" applyAlignment="1">
      <alignment horizontal="center"/>
    </xf>
    <xf numFmtId="0" fontId="8" fillId="0" borderId="0" xfId="0" applyFont="1" applyAlignment="1"/>
    <xf numFmtId="0" fontId="22" fillId="0" borderId="0" xfId="0" applyFont="1" applyAlignment="1">
      <alignment horizontal="left"/>
    </xf>
    <xf numFmtId="0" fontId="5" fillId="0" borderId="0" xfId="0" applyFont="1"/>
    <xf numFmtId="0" fontId="5" fillId="2" borderId="9" xfId="0" applyFont="1" applyFill="1" applyBorder="1" applyAlignment="1">
      <alignment horizontal="center"/>
    </xf>
    <xf numFmtId="0" fontId="8" fillId="2" borderId="20" xfId="0" applyFont="1" applyFill="1" applyBorder="1" applyAlignment="1">
      <alignment horizontal="center"/>
    </xf>
    <xf numFmtId="0" fontId="1" fillId="0" borderId="0" xfId="0" applyFont="1" applyAlignment="1"/>
    <xf numFmtId="0" fontId="24" fillId="0" borderId="0" xfId="0" applyFont="1"/>
    <xf numFmtId="0" fontId="1" fillId="7" borderId="0" xfId="0" applyFont="1" applyFill="1" applyAlignment="1">
      <alignment horizontal="center"/>
    </xf>
    <xf numFmtId="0" fontId="0" fillId="7" borderId="0" xfId="0" applyFill="1" applyAlignment="1">
      <alignment horizontal="center"/>
    </xf>
    <xf numFmtId="0" fontId="0" fillId="7" borderId="0" xfId="0" applyFont="1" applyFill="1" applyAlignment="1">
      <alignment horizontal="center" vertical="center"/>
    </xf>
    <xf numFmtId="0" fontId="0" fillId="7" borderId="0" xfId="0" applyFill="1" applyAlignment="1">
      <alignment horizontal="center" vertical="center"/>
    </xf>
    <xf numFmtId="0" fontId="1" fillId="7" borderId="0" xfId="0" applyFont="1" applyFill="1" applyAlignment="1">
      <alignment horizontal="center" vertical="center"/>
    </xf>
    <xf numFmtId="0" fontId="0" fillId="7" borderId="0" xfId="0" applyFill="1"/>
    <xf numFmtId="2" fontId="15" fillId="7" borderId="0" xfId="0" applyNumberFormat="1" applyFont="1" applyFill="1" applyAlignment="1">
      <alignment horizontal="center"/>
    </xf>
    <xf numFmtId="164" fontId="0" fillId="7" borderId="0" xfId="0" applyNumberFormat="1" applyFill="1" applyAlignment="1">
      <alignment horizontal="center"/>
    </xf>
    <xf numFmtId="164" fontId="0" fillId="7" borderId="0" xfId="0" applyNumberFormat="1" applyFont="1" applyFill="1" applyAlignment="1">
      <alignment horizontal="center"/>
    </xf>
    <xf numFmtId="164" fontId="0" fillId="0" borderId="30" xfId="0" applyNumberFormat="1" applyBorder="1" applyAlignment="1">
      <alignment horizontal="center" vertical="center"/>
    </xf>
    <xf numFmtId="2" fontId="0" fillId="0" borderId="0" xfId="0" applyNumberFormat="1" applyAlignment="1">
      <alignment horizontal="center"/>
    </xf>
    <xf numFmtId="2" fontId="0" fillId="0" borderId="3" xfId="0" applyNumberFormat="1" applyBorder="1"/>
    <xf numFmtId="0" fontId="1" fillId="7" borderId="0" xfId="0" applyFont="1" applyFill="1" applyAlignment="1">
      <alignment horizontal="center"/>
    </xf>
    <xf numFmtId="164" fontId="0" fillId="0" borderId="0" xfId="0" applyNumberFormat="1" applyBorder="1" applyAlignment="1">
      <alignment horizontal="center"/>
    </xf>
    <xf numFmtId="165" fontId="0" fillId="0" borderId="0" xfId="0" applyNumberFormat="1" applyFont="1" applyBorder="1" applyAlignment="1">
      <alignment horizontal="center"/>
    </xf>
    <xf numFmtId="0" fontId="27" fillId="0" borderId="29" xfId="0" applyFont="1" applyBorder="1" applyAlignment="1">
      <alignment horizontal="left" vertical="center" wrapText="1" readingOrder="1"/>
    </xf>
    <xf numFmtId="0" fontId="0" fillId="0" borderId="0" xfId="0" applyAlignment="1">
      <alignment wrapText="1" readingOrder="1"/>
    </xf>
    <xf numFmtId="0" fontId="0" fillId="0" borderId="0" xfId="0" applyAlignment="1">
      <alignment wrapText="1"/>
    </xf>
    <xf numFmtId="0" fontId="25" fillId="0" borderId="0" xfId="0" applyFont="1" applyAlignment="1"/>
    <xf numFmtId="0" fontId="26" fillId="0" borderId="0" xfId="0" applyFont="1" applyAlignment="1"/>
    <xf numFmtId="0" fontId="0" fillId="2" borderId="22" xfId="0" applyFill="1" applyBorder="1" applyAlignment="1"/>
    <xf numFmtId="0" fontId="0" fillId="2" borderId="23" xfId="0" applyFill="1" applyBorder="1" applyAlignment="1"/>
    <xf numFmtId="0" fontId="0" fillId="2" borderId="24" xfId="0" applyFill="1" applyBorder="1" applyAlignment="1"/>
    <xf numFmtId="4" fontId="14" fillId="6" borderId="0" xfId="0" applyNumberFormat="1" applyFont="1" applyFill="1" applyAlignment="1"/>
    <xf numFmtId="0" fontId="14" fillId="6" borderId="0" xfId="0" applyFont="1" applyFill="1" applyAlignment="1"/>
    <xf numFmtId="0" fontId="9" fillId="2" borderId="0" xfId="0" applyFont="1" applyFill="1" applyAlignment="1"/>
    <xf numFmtId="0" fontId="0" fillId="2" borderId="0" xfId="0" applyFill="1" applyAlignment="1"/>
    <xf numFmtId="0" fontId="2" fillId="0" borderId="9" xfId="0" applyFont="1" applyBorder="1" applyAlignment="1">
      <alignment horizontal="center" vertical="center" textRotation="90"/>
    </xf>
    <xf numFmtId="0" fontId="0" fillId="0" borderId="9" xfId="0" applyBorder="1" applyAlignment="1">
      <alignment horizontal="center" vertical="center" textRotation="90"/>
    </xf>
    <xf numFmtId="0" fontId="9" fillId="6" borderId="0" xfId="0" applyFont="1" applyFill="1" applyAlignment="1"/>
    <xf numFmtId="0" fontId="2" fillId="0" borderId="9" xfId="0" applyFont="1" applyBorder="1" applyAlignment="1">
      <alignment horizontal="center" textRotation="90"/>
    </xf>
    <xf numFmtId="0" fontId="0" fillId="0" borderId="9" xfId="0" applyBorder="1" applyAlignment="1">
      <alignment horizontal="center" textRotation="90"/>
    </xf>
    <xf numFmtId="0" fontId="1" fillId="0" borderId="0" xfId="0" applyFont="1" applyAlignment="1"/>
    <xf numFmtId="0" fontId="13" fillId="0" borderId="0" xfId="0" applyFont="1" applyAlignment="1"/>
    <xf numFmtId="0" fontId="0" fillId="0" borderId="0" xfId="0" applyAlignment="1"/>
    <xf numFmtId="0" fontId="0" fillId="6" borderId="0" xfId="0" applyFill="1" applyBorder="1" applyAlignment="1"/>
    <xf numFmtId="0" fontId="23" fillId="0" borderId="9" xfId="0" applyFont="1" applyBorder="1" applyAlignment="1">
      <alignment horizontal="left" wrapText="1" readingOrder="1"/>
    </xf>
    <xf numFmtId="0" fontId="0" fillId="6" borderId="0" xfId="0" applyFill="1" applyAlignment="1"/>
    <xf numFmtId="0" fontId="10" fillId="0" borderId="0" xfId="0" applyFont="1" applyAlignment="1">
      <alignment horizontal="left"/>
    </xf>
    <xf numFmtId="0" fontId="5" fillId="0" borderId="1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3" fillId="0" borderId="4" xfId="0" applyFont="1" applyBorder="1" applyAlignment="1"/>
    <xf numFmtId="0" fontId="0" fillId="0" borderId="5" xfId="0" applyBorder="1" applyAlignment="1"/>
    <xf numFmtId="0" fontId="1" fillId="7" borderId="0" xfId="0" applyFont="1" applyFill="1" applyAlignment="1">
      <alignment horizontal="center"/>
    </xf>
    <xf numFmtId="0" fontId="1" fillId="7" borderId="0" xfId="0" applyFont="1" applyFill="1" applyAlignment="1">
      <alignment horizontal="center" vertical="center"/>
    </xf>
    <xf numFmtId="0" fontId="27" fillId="0" borderId="0" xfId="0" applyFont="1" applyBorder="1" applyAlignment="1">
      <alignment horizontal="left" vertical="center" wrapText="1" readingOrder="1"/>
    </xf>
    <xf numFmtId="0" fontId="1" fillId="7"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R69"/>
  <sheetViews>
    <sheetView tabSelected="1" zoomScaleNormal="100" workbookViewId="0">
      <selection activeCell="J23" sqref="J23"/>
    </sheetView>
  </sheetViews>
  <sheetFormatPr defaultRowHeight="15" x14ac:dyDescent="0.25"/>
  <cols>
    <col min="1" max="1" width="2.42578125" customWidth="1"/>
    <col min="2" max="2" width="7.42578125" bestFit="1" customWidth="1"/>
    <col min="3" max="3" width="9.140625" customWidth="1"/>
    <col min="9" max="9" width="9.7109375" customWidth="1"/>
    <col min="10" max="10" width="28.5703125" bestFit="1" customWidth="1"/>
    <col min="11" max="11" width="19.28515625" style="2" customWidth="1"/>
    <col min="12" max="12" width="16.28515625" style="64" bestFit="1" customWidth="1"/>
    <col min="13" max="13" width="10.28515625" bestFit="1" customWidth="1"/>
    <col min="15" max="15" width="17.5703125" customWidth="1"/>
  </cols>
  <sheetData>
    <row r="1" spans="2:18" ht="35.25" customHeight="1" x14ac:dyDescent="0.4">
      <c r="B1" s="158" t="s">
        <v>192</v>
      </c>
      <c r="C1" s="159"/>
      <c r="D1" s="159"/>
      <c r="E1" s="159"/>
      <c r="F1" s="159"/>
      <c r="G1" s="159"/>
      <c r="H1" s="159"/>
      <c r="I1" s="159"/>
      <c r="J1" s="159"/>
      <c r="K1" s="159"/>
      <c r="L1" s="159"/>
      <c r="M1" s="159"/>
      <c r="N1" s="159"/>
      <c r="O1" s="159"/>
    </row>
    <row r="2" spans="2:18" ht="18.75" x14ac:dyDescent="0.3">
      <c r="B2" s="165" t="s">
        <v>16</v>
      </c>
      <c r="C2" s="165"/>
      <c r="D2" s="165"/>
      <c r="E2" s="165"/>
      <c r="F2" s="165"/>
      <c r="G2" s="165"/>
      <c r="H2" s="166"/>
      <c r="I2" s="169" t="s">
        <v>17</v>
      </c>
      <c r="J2" s="169"/>
      <c r="K2" s="169"/>
      <c r="L2" s="169"/>
      <c r="M2" s="169"/>
      <c r="N2" s="169"/>
    </row>
    <row r="3" spans="2:18" ht="15.75" thickBot="1" x14ac:dyDescent="0.3">
      <c r="C3" s="4"/>
      <c r="D3" s="5"/>
      <c r="E3" s="5"/>
      <c r="F3" s="5"/>
    </row>
    <row r="4" spans="2:18" ht="15.75" thickBot="1" x14ac:dyDescent="0.3">
      <c r="B4" s="172" t="s">
        <v>45</v>
      </c>
      <c r="C4" s="172"/>
      <c r="D4" s="172"/>
      <c r="E4" s="172"/>
      <c r="F4" s="172"/>
      <c r="G4" s="172"/>
      <c r="H4" s="172"/>
      <c r="I4" s="172"/>
      <c r="K4" s="58" t="s">
        <v>44</v>
      </c>
    </row>
    <row r="5" spans="2:18" ht="51.75" customHeight="1" thickBot="1" x14ac:dyDescent="0.3">
      <c r="B5" s="172" t="s">
        <v>164</v>
      </c>
      <c r="C5" s="172"/>
      <c r="D5" s="172"/>
      <c r="E5" s="172"/>
      <c r="F5" s="172"/>
      <c r="G5" s="172"/>
      <c r="H5" s="172"/>
      <c r="I5" s="172"/>
      <c r="K5" s="58" t="s">
        <v>41</v>
      </c>
      <c r="L5" s="155" t="str">
        <f>IF(K5="Typical Power", "WARNING: Typical power is in the middle of the product distribution.  A significant number of devices will exceed typical power.  It is recommended that maximum power is used for system analysis.","")</f>
        <v/>
      </c>
      <c r="M5" s="156"/>
      <c r="N5" s="156"/>
      <c r="O5" s="156"/>
      <c r="P5" s="157"/>
      <c r="Q5" s="157"/>
      <c r="R5" s="157"/>
    </row>
    <row r="6" spans="2:18" x14ac:dyDescent="0.25">
      <c r="B6" s="172" t="s">
        <v>43</v>
      </c>
      <c r="C6" s="172"/>
      <c r="D6" s="172"/>
      <c r="E6" s="172"/>
      <c r="F6" s="172"/>
      <c r="G6" s="172"/>
      <c r="H6" s="172"/>
      <c r="I6" s="172"/>
      <c r="K6" s="175" t="s">
        <v>118</v>
      </c>
      <c r="L6" s="175"/>
      <c r="M6" s="175"/>
      <c r="N6" s="175"/>
    </row>
    <row r="7" spans="2:18" ht="15.75" thickBot="1" x14ac:dyDescent="0.3">
      <c r="B7" s="45"/>
      <c r="C7" s="45"/>
      <c r="D7" s="45"/>
      <c r="E7" s="45"/>
      <c r="F7" s="45"/>
      <c r="G7" s="45"/>
      <c r="H7" s="57"/>
      <c r="J7" s="38"/>
    </row>
    <row r="8" spans="2:18" ht="15.75" customHeight="1" thickBot="1" x14ac:dyDescent="0.3">
      <c r="B8" s="167" t="s">
        <v>56</v>
      </c>
      <c r="C8" s="50" t="s">
        <v>186</v>
      </c>
      <c r="D8" s="48"/>
      <c r="E8" s="48"/>
      <c r="F8" s="48"/>
      <c r="G8" s="33"/>
      <c r="H8" s="38"/>
      <c r="J8" s="38"/>
      <c r="K8" s="58" t="s">
        <v>38</v>
      </c>
      <c r="M8" s="33"/>
    </row>
    <row r="9" spans="2:18" ht="15.75" customHeight="1" thickBot="1" x14ac:dyDescent="0.3">
      <c r="B9" s="167"/>
      <c r="C9" s="1" t="s">
        <v>20</v>
      </c>
      <c r="H9" s="38"/>
      <c r="J9" s="52"/>
      <c r="K9" s="58">
        <v>400</v>
      </c>
      <c r="N9" s="33"/>
    </row>
    <row r="10" spans="2:18" ht="15.75" thickBot="1" x14ac:dyDescent="0.3">
      <c r="B10" s="167"/>
      <c r="C10" s="1" t="s">
        <v>162</v>
      </c>
      <c r="H10" s="38"/>
      <c r="J10" s="38"/>
      <c r="K10" s="58">
        <v>200</v>
      </c>
      <c r="L10" s="33" t="s">
        <v>174</v>
      </c>
    </row>
    <row r="11" spans="2:18" ht="15.75" thickBot="1" x14ac:dyDescent="0.3">
      <c r="B11" s="167"/>
      <c r="C11" s="1" t="s">
        <v>73</v>
      </c>
      <c r="H11" s="38"/>
      <c r="J11" s="38"/>
      <c r="K11" s="58">
        <v>50</v>
      </c>
      <c r="L11" s="33" t="s">
        <v>174</v>
      </c>
    </row>
    <row r="12" spans="2:18" ht="15.75" thickBot="1" x14ac:dyDescent="0.3">
      <c r="B12" s="167"/>
      <c r="C12" s="1" t="s">
        <v>74</v>
      </c>
      <c r="H12" s="38"/>
      <c r="J12" s="38"/>
      <c r="K12" s="58">
        <v>25</v>
      </c>
      <c r="L12" s="33" t="s">
        <v>174</v>
      </c>
    </row>
    <row r="13" spans="2:18" ht="15.75" thickBot="1" x14ac:dyDescent="0.3">
      <c r="B13" s="167"/>
      <c r="C13" s="1" t="s">
        <v>75</v>
      </c>
      <c r="H13" s="38"/>
      <c r="J13" s="38"/>
      <c r="K13" s="58">
        <v>0</v>
      </c>
      <c r="L13" s="33" t="s">
        <v>174</v>
      </c>
    </row>
    <row r="14" spans="2:18" ht="15.75" thickBot="1" x14ac:dyDescent="0.3">
      <c r="B14" s="167"/>
      <c r="C14" s="1" t="s">
        <v>19</v>
      </c>
      <c r="H14" s="38"/>
      <c r="I14" s="38"/>
      <c r="J14" s="38"/>
      <c r="K14" s="58">
        <v>100</v>
      </c>
      <c r="L14" s="33"/>
    </row>
    <row r="15" spans="2:18" ht="15.75" thickBot="1" x14ac:dyDescent="0.3">
      <c r="B15" s="167"/>
      <c r="C15" s="1" t="s">
        <v>163</v>
      </c>
      <c r="K15" s="58">
        <v>1.25</v>
      </c>
      <c r="L15" s="33"/>
    </row>
    <row r="16" spans="2:18" ht="15.75" thickBot="1" x14ac:dyDescent="0.3">
      <c r="B16" s="167"/>
      <c r="C16" s="1" t="s">
        <v>62</v>
      </c>
      <c r="K16" s="59" t="s">
        <v>67</v>
      </c>
      <c r="L16" s="33" t="s">
        <v>179</v>
      </c>
      <c r="M16" s="33"/>
    </row>
    <row r="17" spans="2:14" ht="15.75" thickBot="1" x14ac:dyDescent="0.3">
      <c r="B17" s="167"/>
      <c r="C17" s="1" t="s">
        <v>64</v>
      </c>
      <c r="K17" s="58" t="s">
        <v>180</v>
      </c>
      <c r="L17" s="33"/>
      <c r="M17" s="33"/>
    </row>
    <row r="18" spans="2:14" ht="15.75" thickBot="1" x14ac:dyDescent="0.3">
      <c r="B18" s="167"/>
      <c r="C18" s="1" t="s">
        <v>83</v>
      </c>
      <c r="K18" s="89">
        <f>'DMA Data Rate'!F15</f>
        <v>27.68397331237793</v>
      </c>
      <c r="L18" s="33" t="s">
        <v>165</v>
      </c>
      <c r="M18" s="33"/>
    </row>
    <row r="19" spans="2:14" ht="15.75" thickBot="1" x14ac:dyDescent="0.3">
      <c r="B19" s="167"/>
      <c r="C19" s="1" t="s">
        <v>76</v>
      </c>
      <c r="K19" s="58" t="s">
        <v>5</v>
      </c>
    </row>
    <row r="20" spans="2:14" ht="15.75" thickBot="1" x14ac:dyDescent="0.3">
      <c r="B20" s="167"/>
      <c r="C20" s="1" t="s">
        <v>77</v>
      </c>
      <c r="K20" s="58" t="s">
        <v>6</v>
      </c>
    </row>
    <row r="21" spans="2:14" x14ac:dyDescent="0.25">
      <c r="B21" s="167"/>
      <c r="D21" s="1"/>
      <c r="E21" s="1" t="s">
        <v>81</v>
      </c>
      <c r="I21" s="37">
        <f>INDEX(IDD_BASELINE_DYN,MATCH(K9,Freq,0),MATCH(K15,Vddint_MAX, 0))</f>
        <v>84.3</v>
      </c>
      <c r="N21" t="s">
        <v>82</v>
      </c>
    </row>
    <row r="22" spans="2:14" x14ac:dyDescent="0.25">
      <c r="B22" s="167"/>
      <c r="D22" s="1" t="s">
        <v>78</v>
      </c>
      <c r="J22" s="65">
        <f>I21*(VLOOKUP(K19, ActivityScalingFactor, 2, FALSE)+VLOOKUP(K20, ActivityScalingFactor, 2, FALSE))</f>
        <v>156.79799999999997</v>
      </c>
      <c r="K22" s="150"/>
      <c r="N22" t="s">
        <v>79</v>
      </c>
    </row>
    <row r="23" spans="2:14" x14ac:dyDescent="0.25">
      <c r="B23" s="167"/>
      <c r="D23" s="1" t="s">
        <v>55</v>
      </c>
      <c r="E23" s="1"/>
      <c r="I23" s="7"/>
      <c r="J23" s="65">
        <f>0.187*K10*K15</f>
        <v>46.75</v>
      </c>
      <c r="K23" s="150"/>
      <c r="N23" t="s">
        <v>54</v>
      </c>
    </row>
    <row r="24" spans="2:14" x14ac:dyDescent="0.25">
      <c r="B24" s="167"/>
      <c r="D24" s="1" t="s">
        <v>50</v>
      </c>
      <c r="E24" s="1"/>
      <c r="I24" s="7"/>
      <c r="J24" s="65">
        <f>0.217*K11*K15</f>
        <v>13.5625</v>
      </c>
      <c r="K24" s="150"/>
      <c r="N24" t="s">
        <v>53</v>
      </c>
    </row>
    <row r="25" spans="2:14" x14ac:dyDescent="0.25">
      <c r="B25" s="167"/>
      <c r="D25" s="1" t="s">
        <v>51</v>
      </c>
      <c r="J25" s="65">
        <f>0.042*K12*K15</f>
        <v>1.3125</v>
      </c>
      <c r="K25" s="150"/>
      <c r="N25" t="s">
        <v>106</v>
      </c>
    </row>
    <row r="26" spans="2:14" x14ac:dyDescent="0.25">
      <c r="B26" s="167"/>
      <c r="D26" s="1" t="s">
        <v>52</v>
      </c>
      <c r="J26" s="65">
        <f>0.024*K13*K15</f>
        <v>0</v>
      </c>
      <c r="K26" s="150"/>
      <c r="N26" t="s">
        <v>107</v>
      </c>
    </row>
    <row r="27" spans="2:14" x14ac:dyDescent="0.25">
      <c r="B27" s="167"/>
      <c r="D27" s="1" t="s">
        <v>57</v>
      </c>
      <c r="J27" s="65">
        <f>VLOOKUP(K16, USB_USED, 2, FALSE)</f>
        <v>0</v>
      </c>
      <c r="K27" s="150"/>
      <c r="N27" t="s">
        <v>58</v>
      </c>
    </row>
    <row r="28" spans="2:14" x14ac:dyDescent="0.25">
      <c r="B28" s="167"/>
      <c r="D28" s="1" t="s">
        <v>59</v>
      </c>
      <c r="J28" s="65">
        <f>0.0578*K15*K18</f>
        <v>2.0001670718193054</v>
      </c>
      <c r="K28" s="150"/>
      <c r="N28" t="s">
        <v>60</v>
      </c>
    </row>
    <row r="29" spans="2:14" x14ac:dyDescent="0.25">
      <c r="B29" s="167"/>
      <c r="D29" s="1" t="s">
        <v>63</v>
      </c>
      <c r="J29" s="65">
        <f>VLOOKUP(K17,PVP_USED, 2, FALSE)*K15</f>
        <v>0</v>
      </c>
      <c r="K29" s="150"/>
      <c r="N29" t="s">
        <v>65</v>
      </c>
    </row>
    <row r="30" spans="2:14" x14ac:dyDescent="0.25">
      <c r="B30" s="167"/>
      <c r="D30" s="1" t="s">
        <v>18</v>
      </c>
      <c r="J30" s="65">
        <f>IF(T(K5)='Supporting Tables'!B22,INDEX(IDD_DEEPSLEEP_MAX,MATCH(K14,Tj_MAX,0),MATCH(K15,Vddint_MAX, 0)),INDEX(IDD_DEEPSLEEP_TYP,MATCH(K14,Tj_TYP,0),MATCH(K15,Vddint_TYP, 0)))</f>
        <v>163.4</v>
      </c>
      <c r="K30" s="150"/>
      <c r="N30" t="s">
        <v>183</v>
      </c>
    </row>
    <row r="31" spans="2:14" ht="15.75" thickBot="1" x14ac:dyDescent="0.3">
      <c r="B31" s="167"/>
      <c r="C31" s="1" t="s">
        <v>68</v>
      </c>
      <c r="D31" s="1"/>
      <c r="I31" s="8"/>
      <c r="J31" s="151"/>
      <c r="K31" s="60">
        <f>IF(K8="Full-On",(J30+J29+J28+J27+J26+J25+J24+J23+J22),'Supporting Tables'!C5)</f>
        <v>383.82316707181928</v>
      </c>
      <c r="L31" s="65" t="s">
        <v>36</v>
      </c>
      <c r="N31" t="s">
        <v>152</v>
      </c>
    </row>
    <row r="32" spans="2:14" ht="15.75" thickTop="1" x14ac:dyDescent="0.25">
      <c r="B32" s="167"/>
      <c r="C32" s="1" t="s">
        <v>154</v>
      </c>
      <c r="L32" s="66">
        <f>K31*K15</f>
        <v>479.77895883977408</v>
      </c>
      <c r="M32" s="37" t="s">
        <v>184</v>
      </c>
      <c r="N32" t="s">
        <v>153</v>
      </c>
    </row>
    <row r="33" spans="2:14" ht="12" customHeight="1" x14ac:dyDescent="0.25"/>
    <row r="34" spans="2:14" ht="15.75" thickBot="1" x14ac:dyDescent="0.3">
      <c r="B34" s="170" t="s">
        <v>33</v>
      </c>
    </row>
    <row r="35" spans="2:14" ht="15.75" customHeight="1" thickBot="1" x14ac:dyDescent="0.3">
      <c r="B35" s="171"/>
      <c r="C35" s="1" t="s">
        <v>32</v>
      </c>
      <c r="I35" s="160" t="s">
        <v>49</v>
      </c>
      <c r="J35" s="161"/>
      <c r="K35" s="162"/>
    </row>
    <row r="36" spans="2:14" ht="15.75" thickBot="1" x14ac:dyDescent="0.3">
      <c r="B36" s="171"/>
      <c r="C36" s="1" t="s">
        <v>155</v>
      </c>
      <c r="E36" s="33"/>
      <c r="F36" s="33"/>
      <c r="G36" s="33"/>
      <c r="H36" s="33"/>
      <c r="I36" s="33"/>
      <c r="K36" s="58">
        <v>3.3</v>
      </c>
      <c r="N36" s="33"/>
    </row>
    <row r="37" spans="2:14" ht="19.5" customHeight="1" thickBot="1" x14ac:dyDescent="0.3">
      <c r="B37" s="171"/>
      <c r="C37" s="1" t="s">
        <v>187</v>
      </c>
      <c r="I37" s="8"/>
      <c r="J37" s="8"/>
      <c r="K37" s="60">
        <f>L38/K36</f>
        <v>12.82334625</v>
      </c>
      <c r="L37" s="44" t="str">
        <f>"mA"</f>
        <v>mA</v>
      </c>
    </row>
    <row r="38" spans="2:14" ht="18.75" customHeight="1" thickTop="1" x14ac:dyDescent="0.25">
      <c r="B38" s="171"/>
      <c r="C38" s="1" t="s">
        <v>156</v>
      </c>
      <c r="L38" s="65">
        <f>IF(K8="Full-On",'VDD_EXT Power Domain'!J15,"See total")</f>
        <v>42.317042624999999</v>
      </c>
      <c r="M38" s="37" t="str">
        <f>"mW"</f>
        <v>mW</v>
      </c>
    </row>
    <row r="39" spans="2:14" ht="15.75" customHeight="1" x14ac:dyDescent="0.25"/>
    <row r="40" spans="2:14" ht="15.75" thickBot="1" x14ac:dyDescent="0.3">
      <c r="B40" s="167" t="s">
        <v>47</v>
      </c>
      <c r="C40" s="1"/>
      <c r="K40"/>
    </row>
    <row r="41" spans="2:14" ht="15.75" thickBot="1" x14ac:dyDescent="0.3">
      <c r="B41" s="168"/>
      <c r="C41" s="1" t="s">
        <v>32</v>
      </c>
      <c r="I41" s="160" t="s">
        <v>49</v>
      </c>
      <c r="J41" s="161"/>
      <c r="K41" s="162"/>
    </row>
    <row r="42" spans="2:14" ht="15.75" thickBot="1" x14ac:dyDescent="0.3">
      <c r="B42" s="168"/>
      <c r="C42" s="1" t="s">
        <v>157</v>
      </c>
      <c r="E42" s="33"/>
      <c r="F42" s="33"/>
      <c r="G42" s="33"/>
      <c r="H42" s="33"/>
      <c r="I42" s="33"/>
      <c r="K42" s="58">
        <v>1.8</v>
      </c>
    </row>
    <row r="43" spans="2:14" x14ac:dyDescent="0.25">
      <c r="B43" s="168"/>
    </row>
    <row r="44" spans="2:14" x14ac:dyDescent="0.25">
      <c r="B44" s="168"/>
      <c r="C44" s="1"/>
    </row>
    <row r="45" spans="2:14" ht="15.75" thickBot="1" x14ac:dyDescent="0.3">
      <c r="B45" s="168"/>
      <c r="C45" s="1" t="s">
        <v>188</v>
      </c>
      <c r="I45" s="8"/>
      <c r="J45" s="8"/>
      <c r="K45" s="60">
        <f>L46/K42</f>
        <v>0</v>
      </c>
      <c r="L45" s="44" t="str">
        <f>"mA"</f>
        <v>mA</v>
      </c>
    </row>
    <row r="46" spans="2:14" ht="15.75" thickTop="1" x14ac:dyDescent="0.25">
      <c r="B46" s="168"/>
      <c r="C46" s="1" t="s">
        <v>158</v>
      </c>
      <c r="L46" s="65">
        <f>IF(K8="Full-On",'VDD_DMC Power Domain'!K19,"See total")</f>
        <v>0</v>
      </c>
      <c r="M46" s="37" t="str">
        <f>"mW"</f>
        <v>mW</v>
      </c>
    </row>
    <row r="48" spans="2:14" ht="15.75" thickBot="1" x14ac:dyDescent="0.3">
      <c r="B48" s="167" t="s">
        <v>46</v>
      </c>
      <c r="C48" s="1"/>
      <c r="K48"/>
    </row>
    <row r="49" spans="2:13" ht="15.75" thickBot="1" x14ac:dyDescent="0.3">
      <c r="B49" s="168"/>
      <c r="C49" s="1" t="s">
        <v>32</v>
      </c>
      <c r="I49" s="160" t="s">
        <v>49</v>
      </c>
      <c r="J49" s="161"/>
      <c r="K49" s="162"/>
    </row>
    <row r="50" spans="2:13" ht="15.75" thickBot="1" x14ac:dyDescent="0.3">
      <c r="B50" s="168"/>
      <c r="C50" s="1" t="s">
        <v>159</v>
      </c>
      <c r="E50" s="33"/>
      <c r="F50" s="33"/>
      <c r="G50" s="33"/>
      <c r="H50" s="33"/>
      <c r="I50" s="33"/>
      <c r="K50" s="58">
        <v>3.3</v>
      </c>
    </row>
    <row r="51" spans="2:13" x14ac:dyDescent="0.25">
      <c r="B51" s="168"/>
      <c r="D51" s="5"/>
    </row>
    <row r="52" spans="2:13" x14ac:dyDescent="0.25">
      <c r="B52" s="168"/>
      <c r="C52" s="1"/>
      <c r="K52"/>
    </row>
    <row r="53" spans="2:13" ht="15.75" thickBot="1" x14ac:dyDescent="0.3">
      <c r="B53" s="168"/>
      <c r="C53" s="1" t="s">
        <v>189</v>
      </c>
      <c r="K53" s="60">
        <f>VLOOKUP(K16, USB_USED, 3, FALSE)</f>
        <v>0</v>
      </c>
      <c r="L53" s="65" t="s">
        <v>36</v>
      </c>
    </row>
    <row r="54" spans="2:13" ht="15.75" thickTop="1" x14ac:dyDescent="0.25">
      <c r="B54" s="36"/>
      <c r="C54" s="1" t="s">
        <v>160</v>
      </c>
      <c r="I54" s="34"/>
      <c r="J54" s="34"/>
      <c r="K54" s="61"/>
      <c r="L54" s="66">
        <f>IF(K8="Full-On",K50*K53,"See total")</f>
        <v>0</v>
      </c>
      <c r="M54" s="37" t="str">
        <f>"mW"</f>
        <v>mW</v>
      </c>
    </row>
    <row r="56" spans="2:13" x14ac:dyDescent="0.25">
      <c r="B56" s="167" t="s">
        <v>48</v>
      </c>
      <c r="C56" s="1"/>
      <c r="K56"/>
    </row>
    <row r="57" spans="2:13" x14ac:dyDescent="0.25">
      <c r="B57" s="168"/>
      <c r="C57" s="1"/>
      <c r="K57"/>
      <c r="L57"/>
    </row>
    <row r="58" spans="2:13" x14ac:dyDescent="0.25">
      <c r="B58" s="168"/>
      <c r="C58" s="88" t="s">
        <v>175</v>
      </c>
      <c r="E58" s="33"/>
      <c r="F58" s="33"/>
      <c r="G58" s="2"/>
      <c r="K58"/>
      <c r="L58"/>
    </row>
    <row r="59" spans="2:13" x14ac:dyDescent="0.25">
      <c r="B59" s="168"/>
      <c r="D59" s="48"/>
      <c r="K59"/>
      <c r="L59"/>
    </row>
    <row r="60" spans="2:13" x14ac:dyDescent="0.25">
      <c r="B60" s="168"/>
      <c r="C60" s="1"/>
      <c r="K60"/>
      <c r="L60"/>
    </row>
    <row r="61" spans="2:13" ht="15.75" thickBot="1" x14ac:dyDescent="0.3">
      <c r="B61" s="168"/>
      <c r="C61" s="1"/>
      <c r="K61" s="60">
        <v>0</v>
      </c>
      <c r="L61" s="65" t="s">
        <v>36</v>
      </c>
    </row>
    <row r="62" spans="2:13" ht="15.75" thickTop="1" x14ac:dyDescent="0.25">
      <c r="B62" s="49"/>
      <c r="C62" s="1" t="s">
        <v>161</v>
      </c>
      <c r="I62" s="34"/>
      <c r="J62" s="34"/>
      <c r="K62" s="61"/>
      <c r="L62" s="66">
        <v>0</v>
      </c>
      <c r="M62" s="37" t="str">
        <f>"mW"</f>
        <v>mW</v>
      </c>
    </row>
    <row r="64" spans="2:13" ht="15" customHeight="1" x14ac:dyDescent="0.5">
      <c r="B64" s="173" t="s">
        <v>170</v>
      </c>
      <c r="C64" s="174"/>
      <c r="D64" s="174"/>
      <c r="E64" s="174"/>
      <c r="F64" s="174"/>
      <c r="G64" s="174"/>
      <c r="H64" s="174"/>
      <c r="I64" s="174"/>
      <c r="J64" s="35"/>
      <c r="K64" s="163">
        <f>IF(K8="Full-On",L32+L38+L46+L54,'Supporting Tables'!D5)</f>
        <v>522.09600146477408</v>
      </c>
      <c r="L64" s="163"/>
      <c r="M64" s="164" t="str">
        <f>IF(K8="Full-On","mW", "µW")</f>
        <v>mW</v>
      </c>
    </row>
    <row r="65" spans="2:15" ht="15" customHeight="1" x14ac:dyDescent="0.5">
      <c r="B65" s="174"/>
      <c r="C65" s="174"/>
      <c r="D65" s="174"/>
      <c r="E65" s="174"/>
      <c r="F65" s="174"/>
      <c r="G65" s="174"/>
      <c r="H65" s="174"/>
      <c r="I65" s="174"/>
      <c r="J65" s="35"/>
      <c r="K65" s="163"/>
      <c r="L65" s="163"/>
      <c r="M65" s="164"/>
    </row>
    <row r="69" spans="2:15" ht="81.75" customHeight="1" x14ac:dyDescent="0.25">
      <c r="B69" s="176" t="s">
        <v>191</v>
      </c>
      <c r="C69" s="176"/>
      <c r="D69" s="176"/>
      <c r="E69" s="176"/>
      <c r="F69" s="176"/>
      <c r="G69" s="176"/>
      <c r="H69" s="176"/>
      <c r="I69" s="176"/>
      <c r="J69" s="176"/>
      <c r="K69" s="176"/>
      <c r="L69" s="176"/>
      <c r="M69" s="176"/>
      <c r="N69" s="176"/>
      <c r="O69" s="176"/>
    </row>
  </sheetData>
  <mergeCells count="20">
    <mergeCell ref="B8:B32"/>
    <mergeCell ref="I41:K41"/>
    <mergeCell ref="K6:N6"/>
    <mergeCell ref="B69:O69"/>
    <mergeCell ref="L5:R5"/>
    <mergeCell ref="B1:O1"/>
    <mergeCell ref="I49:K49"/>
    <mergeCell ref="K64:L65"/>
    <mergeCell ref="M64:M65"/>
    <mergeCell ref="B2:H2"/>
    <mergeCell ref="B48:B53"/>
    <mergeCell ref="B40:B46"/>
    <mergeCell ref="I2:N2"/>
    <mergeCell ref="I35:K35"/>
    <mergeCell ref="B34:B38"/>
    <mergeCell ref="B5:I5"/>
    <mergeCell ref="B4:I4"/>
    <mergeCell ref="B64:I65"/>
    <mergeCell ref="B6:I6"/>
    <mergeCell ref="B56:B61"/>
  </mergeCells>
  <dataValidations count="19">
    <dataValidation type="list" allowBlank="1" showInputMessage="1" showErrorMessage="1" sqref="I57:K57">
      <formula1>ProcessorVariant</formula1>
    </dataValidation>
    <dataValidation type="list" allowBlank="1" showInputMessage="1" showErrorMessage="1" sqref="K58">
      <formula1>VDDTD_BF60x</formula1>
    </dataValidation>
    <dataValidation type="list" allowBlank="1" showInputMessage="1" showErrorMessage="1" sqref="K50">
      <formula1>VDDUSB_BF60x</formula1>
    </dataValidation>
    <dataValidation type="list" allowBlank="1" showInputMessage="1" showErrorMessage="1" sqref="F40:K40">
      <formula1>FlashOperatingMode</formula1>
    </dataValidation>
    <dataValidation type="list" allowBlank="1" showErrorMessage="1" promptTitle="Enter Vddint Input Message" sqref="K15">
      <formula1>Vddint_MAX</formula1>
    </dataValidation>
    <dataValidation allowBlank="1" showErrorMessage="1" promptTitle="Enter Vddint Input Message" sqref="K18"/>
    <dataValidation type="list" allowBlank="1" showInputMessage="1" showErrorMessage="1" sqref="K9">
      <formula1>Freq</formula1>
    </dataValidation>
    <dataValidation type="list" allowBlank="1" showInputMessage="1" showErrorMessage="1" sqref="K14">
      <formula1>Tj_MAX</formula1>
    </dataValidation>
    <dataValidation type="list" allowBlank="1" showErrorMessage="1" promptTitle="Enter Vddint Input Message" sqref="K19:K20">
      <formula1>ActivityFactor</formula1>
    </dataValidation>
    <dataValidation type="whole" operator="lessThanOrEqual" allowBlank="1" showInputMessage="1" showErrorMessage="1" sqref="K11">
      <formula1>SCLK0</formula1>
    </dataValidation>
    <dataValidation type="list" allowBlank="1" showInputMessage="1" showErrorMessage="1" sqref="H16">
      <formula1>PowerMode</formula1>
    </dataValidation>
    <dataValidation type="list" allowBlank="1" showInputMessage="1" showErrorMessage="1" sqref="K5">
      <formula1>Power_Profile</formula1>
    </dataValidation>
    <dataValidation type="list" allowBlank="1" showInputMessage="1" showErrorMessage="1" sqref="K4 I35:K35 I41:K41 I49:K49">
      <formula1>ProcessorFamily</formula1>
    </dataValidation>
    <dataValidation type="list" allowBlank="1" showErrorMessage="1" promptTitle="Enter Vddint Input Message" sqref="K16">
      <formula1>CHOICE</formula1>
    </dataValidation>
    <dataValidation type="whole" operator="lessThanOrEqual" allowBlank="1" showInputMessage="1" showErrorMessage="1" sqref="K10">
      <formula1>SYSCLK</formula1>
    </dataValidation>
    <dataValidation type="whole" operator="lessThanOrEqual" allowBlank="1" showInputMessage="1" showErrorMessage="1" sqref="K13">
      <formula1>DDR2_Freq</formula1>
    </dataValidation>
    <dataValidation type="whole" operator="lessThanOrEqual" allowBlank="1" showInputMessage="1" showErrorMessage="1" sqref="K12">
      <formula1>SCLK1</formula1>
    </dataValidation>
    <dataValidation type="list" allowBlank="1" showInputMessage="1" showErrorMessage="1" sqref="K42">
      <formula1>VDDDMC_BF60x</formula1>
    </dataValidation>
    <dataValidation type="list" allowBlank="1" showInputMessage="1" showErrorMessage="1" sqref="K8">
      <formula1>PowerModes</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'Supporting Tables'!$D$29:$G$29</xm:f>
          </x14:formula1>
          <xm:sqref>K36</xm:sqref>
        </x14:dataValidation>
        <x14:dataValidation type="list" allowBlank="1" showErrorMessage="1" promptTitle="Enter Vddint Input Message">
          <x14:formula1>
            <xm:f>'Supporting Tables'!$B$13:$B$15</xm:f>
          </x14:formula1>
          <xm:sqref>K17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36"/>
  <sheetViews>
    <sheetView workbookViewId="0">
      <selection activeCell="K24" sqref="K24"/>
    </sheetView>
  </sheetViews>
  <sheetFormatPr defaultRowHeight="15" x14ac:dyDescent="0.25"/>
  <cols>
    <col min="2" max="2" width="31.42578125" style="63" bestFit="1" customWidth="1"/>
    <col min="3" max="3" width="44.5703125" style="63" bestFit="1" customWidth="1"/>
    <col min="4" max="4" width="23.42578125" style="2" customWidth="1"/>
    <col min="5" max="5" width="20.42578125" style="2" bestFit="1" customWidth="1"/>
    <col min="7" max="7" width="10.140625" bestFit="1" customWidth="1"/>
    <col min="9" max="9" width="19.42578125" customWidth="1"/>
    <col min="11" max="11" width="11.140625" bestFit="1" customWidth="1"/>
  </cols>
  <sheetData>
    <row r="1" spans="1:4" ht="23.25" x14ac:dyDescent="0.35">
      <c r="A1" s="139" t="s">
        <v>173</v>
      </c>
    </row>
    <row r="2" spans="1:4" ht="15.75" thickBot="1" x14ac:dyDescent="0.3"/>
    <row r="3" spans="1:4" x14ac:dyDescent="0.25">
      <c r="B3" s="91" t="s">
        <v>37</v>
      </c>
      <c r="C3" s="108" t="s">
        <v>40</v>
      </c>
      <c r="D3" s="54" t="s">
        <v>185</v>
      </c>
    </row>
    <row r="4" spans="1:4" x14ac:dyDescent="0.25">
      <c r="B4" s="93" t="s">
        <v>38</v>
      </c>
      <c r="C4" s="99" t="s">
        <v>39</v>
      </c>
      <c r="D4" s="55" t="s">
        <v>39</v>
      </c>
    </row>
    <row r="5" spans="1:4" ht="15.75" thickBot="1" x14ac:dyDescent="0.3">
      <c r="B5" s="92" t="s">
        <v>190</v>
      </c>
      <c r="C5" s="109">
        <v>0</v>
      </c>
      <c r="D5" s="56">
        <v>130</v>
      </c>
    </row>
    <row r="6" spans="1:4" ht="15.75" thickBot="1" x14ac:dyDescent="0.3"/>
    <row r="7" spans="1:4" x14ac:dyDescent="0.25">
      <c r="B7" s="91" t="s">
        <v>61</v>
      </c>
      <c r="C7" s="108" t="s">
        <v>68</v>
      </c>
      <c r="D7" s="54" t="s">
        <v>123</v>
      </c>
    </row>
    <row r="8" spans="1:4" x14ac:dyDescent="0.25">
      <c r="B8" s="93" t="s">
        <v>66</v>
      </c>
      <c r="C8" s="99">
        <v>5</v>
      </c>
      <c r="D8" s="55">
        <v>30</v>
      </c>
    </row>
    <row r="9" spans="1:4" ht="15.75" thickBot="1" x14ac:dyDescent="0.3">
      <c r="B9" s="92" t="s">
        <v>67</v>
      </c>
      <c r="C9" s="109">
        <v>0</v>
      </c>
      <c r="D9" s="56">
        <v>0</v>
      </c>
    </row>
    <row r="11" spans="1:4" ht="15.75" thickBot="1" x14ac:dyDescent="0.3"/>
    <row r="12" spans="1:4" x14ac:dyDescent="0.25">
      <c r="B12" s="91" t="s">
        <v>84</v>
      </c>
      <c r="C12" s="110" t="s">
        <v>69</v>
      </c>
    </row>
    <row r="13" spans="1:4" x14ac:dyDescent="0.25">
      <c r="B13" s="93" t="s">
        <v>181</v>
      </c>
      <c r="C13" s="149">
        <f>56/1.32</f>
        <v>42.424242424242422</v>
      </c>
    </row>
    <row r="14" spans="1:4" x14ac:dyDescent="0.25">
      <c r="B14" s="93" t="s">
        <v>182</v>
      </c>
      <c r="C14" s="111">
        <f>25/1.25</f>
        <v>20</v>
      </c>
    </row>
    <row r="15" spans="1:4" ht="15.75" thickBot="1" x14ac:dyDescent="0.3">
      <c r="B15" s="92" t="s">
        <v>180</v>
      </c>
      <c r="C15" s="112">
        <v>0</v>
      </c>
    </row>
    <row r="16" spans="1:4" ht="15.75" thickBot="1" x14ac:dyDescent="0.3"/>
    <row r="17" spans="2:7" x14ac:dyDescent="0.25">
      <c r="B17" s="91" t="s">
        <v>124</v>
      </c>
      <c r="C17" s="110" t="s">
        <v>125</v>
      </c>
      <c r="D17" s="97" t="s">
        <v>126</v>
      </c>
    </row>
    <row r="18" spans="2:7" x14ac:dyDescent="0.25">
      <c r="B18" s="93">
        <v>1.8</v>
      </c>
      <c r="C18" s="113">
        <v>1.9</v>
      </c>
    </row>
    <row r="19" spans="2:7" ht="15.75" thickBot="1" x14ac:dyDescent="0.3">
      <c r="B19" s="92">
        <v>3.3</v>
      </c>
      <c r="C19" s="112">
        <v>3.47</v>
      </c>
    </row>
    <row r="20" spans="2:7" ht="15.75" thickBot="1" x14ac:dyDescent="0.3"/>
    <row r="21" spans="2:7" x14ac:dyDescent="0.25">
      <c r="B21" s="123" t="s">
        <v>135</v>
      </c>
      <c r="C21" s="124" t="s">
        <v>136</v>
      </c>
    </row>
    <row r="22" spans="2:7" x14ac:dyDescent="0.25">
      <c r="B22" s="125" t="s">
        <v>41</v>
      </c>
      <c r="C22" s="111" t="s">
        <v>177</v>
      </c>
    </row>
    <row r="23" spans="2:7" ht="15.75" thickBot="1" x14ac:dyDescent="0.3">
      <c r="B23" s="126" t="s">
        <v>42</v>
      </c>
      <c r="C23" s="111" t="s">
        <v>176</v>
      </c>
    </row>
    <row r="27" spans="2:7" ht="15.75" thickBot="1" x14ac:dyDescent="0.3">
      <c r="B27" s="90" t="s">
        <v>44</v>
      </c>
      <c r="C27" s="114" t="s">
        <v>115</v>
      </c>
      <c r="D27" s="86" t="s">
        <v>116</v>
      </c>
      <c r="E27" s="87" t="s">
        <v>117</v>
      </c>
      <c r="F27" s="86" t="s">
        <v>116</v>
      </c>
      <c r="G27" s="87" t="s">
        <v>117</v>
      </c>
    </row>
    <row r="28" spans="2:7" x14ac:dyDescent="0.25">
      <c r="B28" s="94" t="s">
        <v>114</v>
      </c>
      <c r="C28" s="115"/>
      <c r="D28" s="71">
        <v>1.25</v>
      </c>
      <c r="E28" s="72">
        <v>1.32</v>
      </c>
    </row>
    <row r="29" spans="2:7" x14ac:dyDescent="0.25">
      <c r="B29" s="95" t="s">
        <v>33</v>
      </c>
      <c r="C29" s="116"/>
      <c r="D29" s="13">
        <v>1.8</v>
      </c>
      <c r="E29" s="73">
        <v>1.9</v>
      </c>
      <c r="F29" s="13">
        <v>3.3</v>
      </c>
      <c r="G29" s="73">
        <v>3.47</v>
      </c>
    </row>
    <row r="30" spans="2:7" x14ac:dyDescent="0.25">
      <c r="B30" s="95" t="s">
        <v>47</v>
      </c>
      <c r="C30" s="116"/>
      <c r="D30" s="13">
        <v>1.8</v>
      </c>
      <c r="E30" s="73">
        <v>1.9</v>
      </c>
    </row>
    <row r="31" spans="2:7" x14ac:dyDescent="0.25">
      <c r="B31" s="95" t="s">
        <v>46</v>
      </c>
      <c r="C31" s="116"/>
      <c r="D31" s="13">
        <v>3.3</v>
      </c>
      <c r="E31" s="73">
        <v>3.47</v>
      </c>
    </row>
    <row r="32" spans="2:7" ht="15.75" thickBot="1" x14ac:dyDescent="0.3">
      <c r="B32" s="96" t="s">
        <v>48</v>
      </c>
      <c r="C32" s="117"/>
      <c r="D32" s="22">
        <v>3.3</v>
      </c>
      <c r="E32" s="74">
        <v>3.47</v>
      </c>
    </row>
    <row r="34" spans="2:3" x14ac:dyDescent="0.25">
      <c r="B34" s="98" t="s">
        <v>133</v>
      </c>
      <c r="C34" s="98" t="s">
        <v>134</v>
      </c>
    </row>
    <row r="35" spans="2:3" x14ac:dyDescent="0.25">
      <c r="B35" s="99"/>
      <c r="C35" s="99">
        <v>4</v>
      </c>
    </row>
    <row r="36" spans="2:3" x14ac:dyDescent="0.25">
      <c r="C36" s="63">
        <v>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C2:K25"/>
  <sheetViews>
    <sheetView workbookViewId="0">
      <selection activeCell="M19" sqref="M19"/>
    </sheetView>
  </sheetViews>
  <sheetFormatPr defaultRowHeight="15" x14ac:dyDescent="0.25"/>
  <cols>
    <col min="1" max="1" width="5" customWidth="1"/>
    <col min="2" max="2" width="4.42578125" customWidth="1"/>
    <col min="3" max="3" width="12.7109375" customWidth="1"/>
    <col min="4" max="4" width="18.28515625" bestFit="1" customWidth="1"/>
    <col min="5" max="5" width="8.140625" bestFit="1" customWidth="1"/>
    <col min="6" max="6" width="9" bestFit="1" customWidth="1"/>
    <col min="7" max="7" width="7.28515625" bestFit="1" customWidth="1"/>
    <col min="8" max="8" width="9" bestFit="1" customWidth="1"/>
    <col min="9" max="9" width="9.7109375" bestFit="1" customWidth="1"/>
    <col min="10" max="10" width="17.5703125" bestFit="1" customWidth="1"/>
    <col min="11" max="11" width="62.85546875" customWidth="1"/>
    <col min="12" max="12" width="2.5703125" customWidth="1"/>
    <col min="13" max="13" width="23" bestFit="1" customWidth="1"/>
  </cols>
  <sheetData>
    <row r="2" spans="3:11" x14ac:dyDescent="0.25">
      <c r="C2" s="166" t="s">
        <v>16</v>
      </c>
      <c r="D2" s="166"/>
      <c r="E2" s="166"/>
      <c r="F2" s="166"/>
      <c r="G2" s="166"/>
    </row>
    <row r="3" spans="3:11" x14ac:dyDescent="0.25">
      <c r="C3" s="177" t="s">
        <v>17</v>
      </c>
      <c r="D3" s="177"/>
      <c r="E3" s="177"/>
      <c r="F3" s="177"/>
      <c r="G3" s="177"/>
    </row>
    <row r="5" spans="3:11" ht="21" x14ac:dyDescent="0.35">
      <c r="C5" s="178" t="s">
        <v>35</v>
      </c>
      <c r="D5" s="174"/>
      <c r="E5" s="174"/>
      <c r="F5" s="174"/>
      <c r="G5" s="174"/>
    </row>
    <row r="6" spans="3:11" ht="15.75" x14ac:dyDescent="0.25">
      <c r="C6" s="32"/>
      <c r="D6" s="5"/>
      <c r="E6" s="5"/>
      <c r="F6" s="5"/>
      <c r="G6" s="5"/>
    </row>
    <row r="7" spans="3:11" ht="15.75" x14ac:dyDescent="0.25">
      <c r="C7" s="32" t="s">
        <v>168</v>
      </c>
      <c r="D7" s="5"/>
      <c r="E7" s="5"/>
      <c r="F7" s="5"/>
      <c r="G7" s="5"/>
    </row>
    <row r="8" spans="3:11" ht="15.75" thickBot="1" x14ac:dyDescent="0.3"/>
    <row r="9" spans="3:11" ht="65.25" x14ac:dyDescent="0.25">
      <c r="C9" s="69" t="s">
        <v>21</v>
      </c>
      <c r="D9" s="9" t="s">
        <v>22</v>
      </c>
      <c r="E9" s="10" t="s">
        <v>23</v>
      </c>
      <c r="F9" s="10" t="s">
        <v>24</v>
      </c>
      <c r="G9" s="10" t="s">
        <v>25</v>
      </c>
      <c r="H9" s="10" t="s">
        <v>26</v>
      </c>
      <c r="I9" s="9" t="s">
        <v>27</v>
      </c>
      <c r="J9" s="11" t="s">
        <v>34</v>
      </c>
      <c r="K9" s="12" t="s">
        <v>28</v>
      </c>
    </row>
    <row r="10" spans="3:11" ht="64.5" x14ac:dyDescent="0.25">
      <c r="C10" s="78" t="s">
        <v>121</v>
      </c>
      <c r="D10" s="76">
        <v>27000000</v>
      </c>
      <c r="E10" s="78">
        <v>9</v>
      </c>
      <c r="F10" s="76">
        <v>3E-11</v>
      </c>
      <c r="G10" s="136">
        <v>1</v>
      </c>
      <c r="H10" s="79">
        <v>1</v>
      </c>
      <c r="I10" s="39">
        <f>'Power Estimation'!$K$36</f>
        <v>3.3</v>
      </c>
      <c r="J10" s="40">
        <f>(I10^2) * F10 * (D10/2) * (E10*G10) * H10 * 1000</f>
        <v>39.694049999999997</v>
      </c>
      <c r="K10" s="14" t="s">
        <v>146</v>
      </c>
    </row>
    <row r="11" spans="3:11" ht="26.25" x14ac:dyDescent="0.25">
      <c r="C11" s="78" t="s">
        <v>120</v>
      </c>
      <c r="D11" s="76">
        <v>4000000</v>
      </c>
      <c r="E11" s="78">
        <v>2</v>
      </c>
      <c r="F11" s="76">
        <v>3E-11</v>
      </c>
      <c r="G11" s="136">
        <v>1</v>
      </c>
      <c r="H11" s="79">
        <v>1</v>
      </c>
      <c r="I11" s="39">
        <f>'Power Estimation'!$K$36</f>
        <v>3.3</v>
      </c>
      <c r="J11" s="40">
        <f>(I11^2) * F11 * (D11/2) * (E11*G11) * H11 * 1000</f>
        <v>1.3068</v>
      </c>
      <c r="K11" s="14" t="s">
        <v>147</v>
      </c>
    </row>
    <row r="12" spans="3:11" ht="26.25" x14ac:dyDescent="0.25">
      <c r="C12" s="78" t="s">
        <v>119</v>
      </c>
      <c r="D12" s="76">
        <v>4000000</v>
      </c>
      <c r="E12" s="78">
        <v>2</v>
      </c>
      <c r="F12" s="76">
        <v>3E-11</v>
      </c>
      <c r="G12" s="136">
        <v>1</v>
      </c>
      <c r="H12" s="79">
        <v>1</v>
      </c>
      <c r="I12" s="39">
        <f>'Power Estimation'!$K$36</f>
        <v>3.3</v>
      </c>
      <c r="J12" s="40">
        <f>(I12^2) * F12 * (D12/2) * (E12*G12) * H12 * 1000</f>
        <v>1.3068</v>
      </c>
      <c r="K12" s="14" t="s">
        <v>147</v>
      </c>
    </row>
    <row r="13" spans="3:11" ht="15.75" thickBot="1" x14ac:dyDescent="0.3">
      <c r="C13" s="78" t="s">
        <v>130</v>
      </c>
      <c r="D13" s="76">
        <v>115000</v>
      </c>
      <c r="E13" s="80">
        <v>2</v>
      </c>
      <c r="F13" s="77">
        <v>3E-11</v>
      </c>
      <c r="G13" s="136">
        <v>1</v>
      </c>
      <c r="H13" s="81">
        <v>0.25</v>
      </c>
      <c r="I13" s="39">
        <f>'Power Estimation'!$K$36</f>
        <v>3.3</v>
      </c>
      <c r="J13" s="75">
        <f>(I13^2) * F13 * (D13/2) * (E13*G13) * H13 * 1000</f>
        <v>9.3926249999999982E-3</v>
      </c>
      <c r="K13" s="23" t="s">
        <v>148</v>
      </c>
    </row>
    <row r="14" spans="3:11" ht="15.75" thickBot="1" x14ac:dyDescent="0.3">
      <c r="D14" s="25"/>
      <c r="E14" s="26"/>
      <c r="F14" s="25"/>
      <c r="G14" s="26"/>
      <c r="H14" s="27"/>
      <c r="I14" s="27"/>
      <c r="J14" s="27"/>
      <c r="K14" s="28"/>
    </row>
    <row r="15" spans="3:11" ht="15.75" thickTop="1" x14ac:dyDescent="0.25">
      <c r="C15" s="1" t="s">
        <v>30</v>
      </c>
      <c r="I15" s="30"/>
      <c r="J15" s="43">
        <f>SUM(J10:J13)</f>
        <v>42.317042624999999</v>
      </c>
      <c r="K15" s="31"/>
    </row>
    <row r="17" spans="3:11" ht="16.5" x14ac:dyDescent="0.3">
      <c r="C17" s="134" t="s">
        <v>144</v>
      </c>
      <c r="D17" s="134"/>
      <c r="E17" s="134"/>
      <c r="F17" s="134"/>
      <c r="G17" s="134"/>
      <c r="H17" s="134"/>
      <c r="I17" s="134"/>
      <c r="J17" s="1"/>
      <c r="K17" s="1"/>
    </row>
    <row r="18" spans="3:11" ht="15.75" x14ac:dyDescent="0.25">
      <c r="C18" s="70" t="s">
        <v>141</v>
      </c>
      <c r="D18" s="70"/>
      <c r="E18" s="70"/>
      <c r="F18" s="70"/>
      <c r="G18" s="70"/>
      <c r="H18" s="70"/>
      <c r="I18" s="70"/>
    </row>
    <row r="19" spans="3:11" ht="15.75" x14ac:dyDescent="0.25">
      <c r="C19" s="70" t="s">
        <v>138</v>
      </c>
      <c r="D19" s="70"/>
      <c r="E19" s="70"/>
      <c r="F19" s="70"/>
      <c r="G19" s="70"/>
      <c r="H19" s="70"/>
      <c r="I19" s="70"/>
    </row>
    <row r="20" spans="3:11" ht="15.75" x14ac:dyDescent="0.25">
      <c r="C20" s="70" t="s">
        <v>139</v>
      </c>
      <c r="D20" s="70"/>
      <c r="E20" s="70"/>
      <c r="F20" s="70"/>
      <c r="G20" s="70"/>
      <c r="H20" s="70"/>
      <c r="I20" s="70"/>
    </row>
    <row r="21" spans="3:11" ht="15.75" x14ac:dyDescent="0.25">
      <c r="C21" s="70" t="s">
        <v>140</v>
      </c>
      <c r="D21" s="70"/>
      <c r="E21" s="70"/>
      <c r="F21" s="70"/>
      <c r="G21" s="70"/>
      <c r="H21" s="70"/>
      <c r="I21" s="70"/>
    </row>
    <row r="22" spans="3:11" ht="15.75" x14ac:dyDescent="0.25">
      <c r="C22" s="70"/>
      <c r="D22" s="70"/>
      <c r="E22" s="70"/>
      <c r="F22" s="70"/>
      <c r="G22" s="70"/>
      <c r="H22" s="70"/>
      <c r="I22" s="70"/>
    </row>
    <row r="23" spans="3:11" ht="15.75" x14ac:dyDescent="0.25">
      <c r="C23" s="70" t="s">
        <v>142</v>
      </c>
      <c r="D23" s="70"/>
      <c r="E23" s="70"/>
      <c r="F23" s="70"/>
      <c r="G23" s="70"/>
      <c r="H23" s="70"/>
      <c r="I23" s="70"/>
    </row>
    <row r="24" spans="3:11" ht="15.75" x14ac:dyDescent="0.25">
      <c r="C24" s="70" t="s">
        <v>138</v>
      </c>
      <c r="D24" s="70"/>
      <c r="E24" s="70"/>
      <c r="F24" s="70"/>
      <c r="G24" s="70"/>
      <c r="H24" s="70"/>
      <c r="I24" s="70"/>
    </row>
    <row r="25" spans="3:11" ht="15.75" x14ac:dyDescent="0.25">
      <c r="C25" s="70" t="s">
        <v>143</v>
      </c>
      <c r="D25" s="70"/>
      <c r="E25" s="70"/>
      <c r="F25" s="70"/>
      <c r="G25" s="70"/>
      <c r="H25" s="70"/>
      <c r="I25" s="70"/>
    </row>
  </sheetData>
  <mergeCells count="3">
    <mergeCell ref="C2:G2"/>
    <mergeCell ref="C3:G3"/>
    <mergeCell ref="C5:G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C2:L19"/>
  <sheetViews>
    <sheetView workbookViewId="0">
      <selection activeCell="L16" sqref="L16"/>
    </sheetView>
  </sheetViews>
  <sheetFormatPr defaultRowHeight="15" x14ac:dyDescent="0.25"/>
  <cols>
    <col min="1" max="1" width="5" customWidth="1"/>
    <col min="2" max="2" width="4.42578125" customWidth="1"/>
    <col min="3" max="3" width="8.42578125" bestFit="1" customWidth="1"/>
    <col min="4" max="4" width="19.7109375" customWidth="1"/>
    <col min="5" max="5" width="18.28515625" bestFit="1" customWidth="1"/>
    <col min="6" max="6" width="8.140625" bestFit="1" customWidth="1"/>
    <col min="7" max="7" width="9" bestFit="1" customWidth="1"/>
    <col min="8" max="8" width="7.28515625" bestFit="1" customWidth="1"/>
    <col min="9" max="9" width="9" bestFit="1" customWidth="1"/>
    <col min="10" max="10" width="9.7109375" bestFit="1" customWidth="1"/>
    <col min="11" max="11" width="17.5703125" bestFit="1" customWidth="1"/>
    <col min="12" max="12" width="62.85546875" customWidth="1"/>
    <col min="13" max="13" width="2.5703125" customWidth="1"/>
    <col min="14" max="14" width="23" bestFit="1" customWidth="1"/>
  </cols>
  <sheetData>
    <row r="2" spans="3:12" x14ac:dyDescent="0.25">
      <c r="C2" s="166" t="s">
        <v>16</v>
      </c>
      <c r="D2" s="166"/>
      <c r="E2" s="166"/>
      <c r="F2" s="166"/>
      <c r="G2" s="166"/>
      <c r="H2" s="166"/>
    </row>
    <row r="3" spans="3:12" x14ac:dyDescent="0.25">
      <c r="C3" s="177" t="s">
        <v>17</v>
      </c>
      <c r="D3" s="177"/>
      <c r="E3" s="177"/>
      <c r="F3" s="177"/>
      <c r="G3" s="177"/>
      <c r="H3" s="177"/>
    </row>
    <row r="5" spans="3:12" ht="21" x14ac:dyDescent="0.35">
      <c r="C5" s="178" t="s">
        <v>128</v>
      </c>
      <c r="D5" s="174"/>
      <c r="E5" s="174"/>
      <c r="F5" s="174"/>
      <c r="G5" s="174"/>
      <c r="H5" s="174"/>
    </row>
    <row r="6" spans="3:12" ht="15.75" x14ac:dyDescent="0.25">
      <c r="C6" s="53"/>
      <c r="D6" s="48"/>
      <c r="E6" s="48"/>
      <c r="F6" s="48"/>
      <c r="G6" s="48"/>
      <c r="H6" s="48"/>
    </row>
    <row r="7" spans="3:12" ht="15.75" x14ac:dyDescent="0.25">
      <c r="C7" s="53" t="s">
        <v>31</v>
      </c>
      <c r="D7" s="48"/>
      <c r="E7" s="48"/>
      <c r="F7" s="48"/>
      <c r="G7" s="48"/>
      <c r="H7" s="48"/>
    </row>
    <row r="8" spans="3:12" ht="15.75" x14ac:dyDescent="0.25">
      <c r="C8" s="70"/>
      <c r="D8" s="68"/>
      <c r="E8" s="68"/>
      <c r="F8" s="68"/>
      <c r="G8" s="68"/>
      <c r="H8" s="68"/>
    </row>
    <row r="9" spans="3:12" ht="15.75" x14ac:dyDescent="0.25">
      <c r="C9" s="70"/>
      <c r="D9" s="68" t="s">
        <v>132</v>
      </c>
      <c r="E9" s="119">
        <v>4</v>
      </c>
      <c r="F9" s="68"/>
      <c r="G9" s="133" t="s">
        <v>145</v>
      </c>
      <c r="H9" s="133"/>
      <c r="I9" s="33"/>
      <c r="J9" s="33"/>
      <c r="K9" s="33"/>
    </row>
    <row r="10" spans="3:12" ht="15.75" x14ac:dyDescent="0.25">
      <c r="C10" s="70"/>
      <c r="D10" s="68"/>
      <c r="E10" s="68"/>
      <c r="F10" s="68"/>
      <c r="G10" s="68"/>
      <c r="H10" s="68"/>
    </row>
    <row r="11" spans="3:12" ht="15.75" x14ac:dyDescent="0.25">
      <c r="C11" s="70"/>
      <c r="D11" s="68"/>
      <c r="E11" s="68"/>
      <c r="F11" s="68"/>
      <c r="G11" s="68"/>
      <c r="H11" s="68"/>
    </row>
    <row r="12" spans="3:12" ht="15.75" thickBot="1" x14ac:dyDescent="0.3"/>
    <row r="13" spans="3:12" ht="65.25" x14ac:dyDescent="0.25">
      <c r="C13" s="182" t="s">
        <v>21</v>
      </c>
      <c r="D13" s="183"/>
      <c r="E13" s="9" t="s">
        <v>22</v>
      </c>
      <c r="F13" s="10" t="s">
        <v>23</v>
      </c>
      <c r="G13" s="85" t="s">
        <v>122</v>
      </c>
      <c r="H13" s="10" t="s">
        <v>25</v>
      </c>
      <c r="I13" s="10" t="s">
        <v>26</v>
      </c>
      <c r="J13" s="9" t="s">
        <v>127</v>
      </c>
      <c r="K13" s="11" t="s">
        <v>34</v>
      </c>
      <c r="L13" s="12" t="s">
        <v>28</v>
      </c>
    </row>
    <row r="14" spans="3:12" ht="26.25" x14ac:dyDescent="0.25">
      <c r="C14" s="179" t="s">
        <v>109</v>
      </c>
      <c r="D14" s="20" t="s">
        <v>110</v>
      </c>
      <c r="E14" s="82">
        <f>'Power Estimation'!$K$13*1000000</f>
        <v>0</v>
      </c>
      <c r="F14" s="83">
        <v>14</v>
      </c>
      <c r="G14" s="120">
        <v>4.9999999999999997E-12</v>
      </c>
      <c r="H14" s="83">
        <v>0.5</v>
      </c>
      <c r="I14" s="121">
        <v>1</v>
      </c>
      <c r="J14" s="39">
        <f>'Power Estimation'!$K$42</f>
        <v>1.8</v>
      </c>
      <c r="K14" s="41">
        <f t="shared" ref="K14:K17" si="0">(J14^2) * G14 * (E14/2) * (F14*H14) * I14 * 1000</f>
        <v>0</v>
      </c>
      <c r="L14" s="19" t="s">
        <v>150</v>
      </c>
    </row>
    <row r="15" spans="3:12" ht="39" x14ac:dyDescent="0.25">
      <c r="C15" s="180"/>
      <c r="D15" s="20" t="s">
        <v>111</v>
      </c>
      <c r="E15" s="82">
        <f>'Power Estimation'!$K$13*1000000*2</f>
        <v>0</v>
      </c>
      <c r="F15" s="83">
        <v>16</v>
      </c>
      <c r="G15" s="120">
        <v>4.9999999999999997E-12</v>
      </c>
      <c r="H15" s="83">
        <v>0.5</v>
      </c>
      <c r="I15" s="121">
        <v>1</v>
      </c>
      <c r="J15" s="39">
        <f>'Power Estimation'!$K$42</f>
        <v>1.8</v>
      </c>
      <c r="K15" s="41">
        <f t="shared" si="0"/>
        <v>0</v>
      </c>
      <c r="L15" s="19" t="s">
        <v>169</v>
      </c>
    </row>
    <row r="16" spans="3:12" ht="39" x14ac:dyDescent="0.25">
      <c r="C16" s="180"/>
      <c r="D16" s="17" t="s">
        <v>112</v>
      </c>
      <c r="E16" s="82">
        <f>'Power Estimation'!$K$13*1000000/E9</f>
        <v>0</v>
      </c>
      <c r="F16" s="132">
        <v>15</v>
      </c>
      <c r="G16" s="120">
        <v>4.9999999999999997E-12</v>
      </c>
      <c r="H16" s="83">
        <v>0.5</v>
      </c>
      <c r="I16" s="121">
        <v>1</v>
      </c>
      <c r="J16" s="39">
        <f>'Power Estimation'!$K$42</f>
        <v>1.8</v>
      </c>
      <c r="K16" s="41">
        <f t="shared" si="0"/>
        <v>0</v>
      </c>
      <c r="L16" s="19" t="s">
        <v>149</v>
      </c>
    </row>
    <row r="17" spans="3:12" ht="27" thickBot="1" x14ac:dyDescent="0.3">
      <c r="C17" s="181"/>
      <c r="D17" s="21" t="s">
        <v>113</v>
      </c>
      <c r="E17" s="77">
        <f>'Power Estimation'!$K$13*1000000</f>
        <v>0</v>
      </c>
      <c r="F17" s="84">
        <v>2</v>
      </c>
      <c r="G17" s="120">
        <v>4.9999999999999997E-12</v>
      </c>
      <c r="H17" s="137">
        <v>0.25</v>
      </c>
      <c r="I17" s="122">
        <v>1</v>
      </c>
      <c r="J17" s="39">
        <f>'Power Estimation'!$K$42</f>
        <v>1.8</v>
      </c>
      <c r="K17" s="42">
        <f t="shared" si="0"/>
        <v>0</v>
      </c>
      <c r="L17" s="23" t="s">
        <v>151</v>
      </c>
    </row>
    <row r="18" spans="3:12" ht="15.75" thickBot="1" x14ac:dyDescent="0.3">
      <c r="D18" s="24"/>
      <c r="E18" s="25"/>
      <c r="F18" s="26"/>
      <c r="G18" s="25"/>
      <c r="H18" s="26"/>
      <c r="I18" s="27"/>
      <c r="J18" s="27"/>
      <c r="K18" s="27"/>
      <c r="L18" s="28"/>
    </row>
    <row r="19" spans="3:12" ht="15.75" thickTop="1" x14ac:dyDescent="0.25">
      <c r="C19" s="1" t="s">
        <v>108</v>
      </c>
      <c r="D19" s="29"/>
      <c r="J19" s="30"/>
      <c r="K19" s="43">
        <f>SUM(K14:K17)</f>
        <v>0</v>
      </c>
      <c r="L19" s="31"/>
    </row>
  </sheetData>
  <mergeCells count="5">
    <mergeCell ref="C14:C17"/>
    <mergeCell ref="C2:H2"/>
    <mergeCell ref="C3:H3"/>
    <mergeCell ref="C5:H5"/>
    <mergeCell ref="C13:D13"/>
  </mergeCells>
  <dataValidations count="2">
    <dataValidation operator="greaterThanOrEqual" allowBlank="1" showInputMessage="1" showErrorMessage="1" sqref="E11"/>
    <dataValidation type="list" allowBlank="1" showInputMessage="1" showErrorMessage="1" sqref="E9">
      <formula1>DDR_BURST</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C2:K33"/>
  <sheetViews>
    <sheetView zoomScaleNormal="100" workbookViewId="0">
      <selection activeCell="E10" sqref="E10"/>
    </sheetView>
  </sheetViews>
  <sheetFormatPr defaultRowHeight="15" x14ac:dyDescent="0.25"/>
  <cols>
    <col min="1" max="1" width="5" customWidth="1"/>
    <col min="2" max="2" width="4.42578125" customWidth="1"/>
    <col min="3" max="3" width="8.42578125" bestFit="1" customWidth="1"/>
    <col min="4" max="4" width="18.28515625" style="106" bestFit="1" customWidth="1"/>
    <col min="5" max="5" width="25.7109375" style="2" customWidth="1"/>
    <col min="6" max="6" width="17.5703125" bestFit="1" customWidth="1"/>
    <col min="7" max="7" width="62.85546875" hidden="1" customWidth="1"/>
    <col min="8" max="8" width="2.5703125" hidden="1" customWidth="1"/>
    <col min="9" max="9" width="23" hidden="1" customWidth="1"/>
    <col min="10" max="10" width="0" hidden="1" customWidth="1"/>
    <col min="11" max="11" width="56.7109375" customWidth="1"/>
  </cols>
  <sheetData>
    <row r="2" spans="3:11" x14ac:dyDescent="0.25">
      <c r="C2" s="166" t="s">
        <v>16</v>
      </c>
      <c r="D2" s="166"/>
      <c r="E2" s="166"/>
    </row>
    <row r="3" spans="3:11" x14ac:dyDescent="0.25">
      <c r="C3" s="177" t="s">
        <v>17</v>
      </c>
      <c r="D3" s="177"/>
      <c r="E3" s="177"/>
    </row>
    <row r="5" spans="3:11" ht="15.75" x14ac:dyDescent="0.25">
      <c r="C5" s="100" t="s">
        <v>137</v>
      </c>
    </row>
    <row r="6" spans="3:11" ht="15.75" x14ac:dyDescent="0.25">
      <c r="C6" s="67"/>
    </row>
    <row r="7" spans="3:11" ht="15.75" x14ac:dyDescent="0.25">
      <c r="C7" s="67" t="s">
        <v>171</v>
      </c>
    </row>
    <row r="8" spans="3:11" ht="11.25" customHeight="1" thickBot="1" x14ac:dyDescent="0.3">
      <c r="I8" s="70"/>
    </row>
    <row r="9" spans="3:11" ht="15" customHeight="1" thickBot="1" x14ac:dyDescent="0.3">
      <c r="C9" s="118" t="s">
        <v>21</v>
      </c>
      <c r="D9" s="107" t="s">
        <v>22</v>
      </c>
      <c r="E9" s="101" t="s">
        <v>172</v>
      </c>
      <c r="F9" s="102" t="s">
        <v>129</v>
      </c>
      <c r="G9" s="10" t="s">
        <v>25</v>
      </c>
      <c r="H9" s="10" t="s">
        <v>26</v>
      </c>
      <c r="I9" s="9" t="s">
        <v>27</v>
      </c>
      <c r="J9" s="11" t="s">
        <v>34</v>
      </c>
      <c r="K9" s="12" t="s">
        <v>28</v>
      </c>
    </row>
    <row r="10" spans="3:11" ht="65.25" thickBot="1" x14ac:dyDescent="0.3">
      <c r="C10" s="105" t="str">
        <f>'VDD_EXT Power Domain'!C10:C10</f>
        <v xml:space="preserve">8 bit PPI </v>
      </c>
      <c r="D10" s="127">
        <v>27000000</v>
      </c>
      <c r="E10" s="129">
        <f>8</f>
        <v>8</v>
      </c>
      <c r="F10" s="128">
        <f>(D10/10^6)*E10*1/8*1/1.048576</f>
        <v>25.74920654296875</v>
      </c>
      <c r="G10" s="136">
        <v>1</v>
      </c>
      <c r="H10" s="79">
        <v>1</v>
      </c>
      <c r="I10" s="39" t="e">
        <f>'Power Estimation'!#REF!</f>
        <v>#REF!</v>
      </c>
      <c r="J10" s="40" t="e">
        <f>(I10^2) * F10 * (D10/2) * (E10*G10) * H10 * 1000</f>
        <v>#REF!</v>
      </c>
      <c r="K10" s="14" t="s">
        <v>146</v>
      </c>
    </row>
    <row r="11" spans="3:11" ht="27" thickBot="1" x14ac:dyDescent="0.3">
      <c r="C11" s="105" t="str">
        <f>'VDD_EXT Power Domain'!C11:C11</f>
        <v xml:space="preserve">SPORT0 </v>
      </c>
      <c r="D11" s="127">
        <f>'VDD_EXT Power Domain'!D11:D11</f>
        <v>4000000</v>
      </c>
      <c r="E11" s="130">
        <f>'VDD_EXT Power Domain'!E11:E11</f>
        <v>2</v>
      </c>
      <c r="F11" s="128">
        <f t="shared" ref="F11:F13" si="0">(D11/10^6)*E11*1/8*1/1.048576</f>
        <v>0.95367431640625</v>
      </c>
      <c r="G11" s="136">
        <v>1</v>
      </c>
      <c r="H11" s="79">
        <v>1</v>
      </c>
      <c r="I11" s="39" t="e">
        <f>'Power Estimation'!#REF!</f>
        <v>#REF!</v>
      </c>
      <c r="J11" s="40" t="e">
        <f>(I11^2) * F11 * (D11/2) * (E11*G11) * H11 * 1000</f>
        <v>#REF!</v>
      </c>
      <c r="K11" s="14" t="s">
        <v>147</v>
      </c>
    </row>
    <row r="12" spans="3:11" ht="27" thickBot="1" x14ac:dyDescent="0.3">
      <c r="C12" s="105" t="str">
        <f>'VDD_EXT Power Domain'!C12:C12</f>
        <v xml:space="preserve">SPORT1 </v>
      </c>
      <c r="D12" s="127">
        <f>'VDD_EXT Power Domain'!D12:D12</f>
        <v>4000000</v>
      </c>
      <c r="E12" s="130">
        <f>'VDD_EXT Power Domain'!E12:E12</f>
        <v>2</v>
      </c>
      <c r="F12" s="128">
        <f t="shared" si="0"/>
        <v>0.95367431640625</v>
      </c>
      <c r="G12" s="136">
        <v>1</v>
      </c>
      <c r="H12" s="79">
        <v>1</v>
      </c>
      <c r="I12" s="39" t="e">
        <f>'Power Estimation'!#REF!</f>
        <v>#REF!</v>
      </c>
      <c r="J12" s="40" t="e">
        <f>(I12^2) * F12 * (D12/2) * (E12*G12) * H12 * 1000</f>
        <v>#REF!</v>
      </c>
      <c r="K12" s="14" t="s">
        <v>147</v>
      </c>
    </row>
    <row r="13" spans="3:11" ht="15.75" thickBot="1" x14ac:dyDescent="0.3">
      <c r="C13" s="105" t="str">
        <f>'VDD_EXT Power Domain'!C13:C13</f>
        <v xml:space="preserve">UART0 </v>
      </c>
      <c r="D13" s="127">
        <f>'VDD_EXT Power Domain'!D13:D13</f>
        <v>115000</v>
      </c>
      <c r="E13" s="131">
        <f>'VDD_EXT Power Domain'!E13:E13</f>
        <v>2</v>
      </c>
      <c r="F13" s="128">
        <f t="shared" si="0"/>
        <v>2.7418136596679691E-2</v>
      </c>
      <c r="G13" s="136">
        <v>1</v>
      </c>
      <c r="H13" s="81">
        <v>0.25</v>
      </c>
      <c r="I13" s="39" t="e">
        <f>'Power Estimation'!#REF!</f>
        <v>#REF!</v>
      </c>
      <c r="J13" s="75" t="e">
        <f>(I13^2) * F13 * (D13/2) * (E13*G13) * H13 * 1000</f>
        <v>#REF!</v>
      </c>
      <c r="K13" s="23" t="s">
        <v>29</v>
      </c>
    </row>
    <row r="14" spans="3:11" ht="16.5" thickBot="1" x14ac:dyDescent="0.3">
      <c r="D14" s="25"/>
      <c r="E14" s="26"/>
      <c r="F14" s="27"/>
      <c r="G14" s="28"/>
      <c r="I14" s="70"/>
    </row>
    <row r="15" spans="3:11" ht="16.5" thickTop="1" x14ac:dyDescent="0.25">
      <c r="C15" s="1" t="s">
        <v>131</v>
      </c>
      <c r="F15" s="43">
        <f>SUM(F10:F13)</f>
        <v>27.68397331237793</v>
      </c>
      <c r="G15" s="31"/>
      <c r="I15" s="70"/>
    </row>
    <row r="16" spans="3:11" ht="15.75" x14ac:dyDescent="0.25">
      <c r="I16" s="70"/>
    </row>
    <row r="17" spans="3:11" ht="16.5" x14ac:dyDescent="0.3">
      <c r="C17" s="134" t="s">
        <v>144</v>
      </c>
      <c r="D17" s="134"/>
      <c r="E17" s="134"/>
      <c r="F17" s="134"/>
      <c r="G17" s="134"/>
      <c r="H17" s="134"/>
      <c r="I17" s="134"/>
      <c r="J17" s="1"/>
      <c r="K17" s="1"/>
    </row>
    <row r="18" spans="3:11" ht="15.75" x14ac:dyDescent="0.25">
      <c r="C18" s="70" t="s">
        <v>141</v>
      </c>
      <c r="D18" s="70"/>
      <c r="E18" s="70"/>
      <c r="F18" s="70"/>
      <c r="G18" s="70"/>
      <c r="H18" s="70"/>
      <c r="I18" s="70"/>
    </row>
    <row r="19" spans="3:11" ht="15.75" x14ac:dyDescent="0.25">
      <c r="C19" s="70" t="s">
        <v>138</v>
      </c>
      <c r="D19" s="70"/>
      <c r="E19" s="70"/>
      <c r="F19" s="70"/>
      <c r="G19" s="70"/>
      <c r="H19" s="70"/>
      <c r="I19" s="70"/>
    </row>
    <row r="20" spans="3:11" ht="15.75" x14ac:dyDescent="0.25">
      <c r="C20" s="70" t="s">
        <v>139</v>
      </c>
      <c r="D20" s="70"/>
      <c r="E20" s="70"/>
      <c r="F20" s="70"/>
      <c r="G20" s="70"/>
      <c r="H20" s="70"/>
      <c r="I20" s="70"/>
    </row>
    <row r="21" spans="3:11" ht="15.75" x14ac:dyDescent="0.25">
      <c r="C21" s="70" t="s">
        <v>140</v>
      </c>
      <c r="D21" s="70"/>
      <c r="E21" s="70"/>
      <c r="F21" s="70"/>
      <c r="G21" s="70"/>
      <c r="H21" s="70"/>
      <c r="I21" s="70"/>
    </row>
    <row r="22" spans="3:11" ht="15.75" x14ac:dyDescent="0.25">
      <c r="C22" s="70"/>
      <c r="D22" s="70"/>
      <c r="E22" s="70"/>
      <c r="F22" s="70"/>
      <c r="G22" s="70"/>
      <c r="H22" s="70"/>
      <c r="I22" s="70"/>
    </row>
    <row r="23" spans="3:11" ht="15.75" x14ac:dyDescent="0.25">
      <c r="C23" s="70" t="s">
        <v>142</v>
      </c>
      <c r="D23" s="70"/>
      <c r="E23" s="70"/>
      <c r="F23" s="70"/>
      <c r="G23" s="70"/>
      <c r="H23" s="70"/>
      <c r="I23" s="70"/>
    </row>
    <row r="24" spans="3:11" ht="15.75" x14ac:dyDescent="0.25">
      <c r="C24" s="70" t="s">
        <v>138</v>
      </c>
      <c r="D24" s="70"/>
      <c r="E24" s="70"/>
      <c r="F24" s="70"/>
      <c r="G24" s="70"/>
      <c r="H24" s="70"/>
      <c r="I24" s="70"/>
    </row>
    <row r="25" spans="3:11" ht="15.75" x14ac:dyDescent="0.25">
      <c r="C25" s="70" t="s">
        <v>143</v>
      </c>
      <c r="D25" s="70"/>
      <c r="E25" s="70"/>
      <c r="F25" s="70"/>
      <c r="G25" s="70"/>
      <c r="H25" s="70"/>
      <c r="I25" s="70"/>
    </row>
    <row r="27" spans="3:11" ht="15.75" thickBot="1" x14ac:dyDescent="0.3">
      <c r="D27"/>
      <c r="E27"/>
    </row>
    <row r="28" spans="3:11" ht="15.75" thickBot="1" x14ac:dyDescent="0.3">
      <c r="D28"/>
      <c r="E28"/>
      <c r="G28" s="103"/>
    </row>
    <row r="29" spans="3:11" ht="15.75" thickBot="1" x14ac:dyDescent="0.3">
      <c r="D29"/>
      <c r="E29"/>
      <c r="G29" s="104"/>
      <c r="I29" s="16"/>
      <c r="K29" s="135"/>
    </row>
    <row r="30" spans="3:11" ht="15.75" thickBot="1" x14ac:dyDescent="0.3">
      <c r="D30"/>
      <c r="E30"/>
      <c r="G30" s="104"/>
      <c r="I30" s="15"/>
      <c r="K30" s="135"/>
    </row>
    <row r="31" spans="3:11" ht="15.75" thickBot="1" x14ac:dyDescent="0.3">
      <c r="D31"/>
      <c r="E31"/>
      <c r="G31" s="104"/>
      <c r="I31" s="15"/>
      <c r="K31" s="135"/>
    </row>
    <row r="32" spans="3:11" ht="15.75" thickBot="1" x14ac:dyDescent="0.3">
      <c r="D32"/>
      <c r="E32"/>
      <c r="G32" s="104"/>
      <c r="I32" s="18"/>
    </row>
    <row r="33" spans="4:5" x14ac:dyDescent="0.25">
      <c r="D33"/>
      <c r="E33"/>
    </row>
  </sheetData>
  <mergeCells count="2">
    <mergeCell ref="C2:E2"/>
    <mergeCell ref="C3:E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election activeCell="D5" sqref="D5:D17"/>
    </sheetView>
  </sheetViews>
  <sheetFormatPr defaultRowHeight="15" x14ac:dyDescent="0.25"/>
  <sheetData>
    <row r="1" spans="1:12" ht="23.25" x14ac:dyDescent="0.35">
      <c r="A1" s="139" t="s">
        <v>173</v>
      </c>
    </row>
    <row r="3" spans="1:12" x14ac:dyDescent="0.25">
      <c r="C3" s="184" t="s">
        <v>0</v>
      </c>
      <c r="D3" s="184"/>
      <c r="E3" s="184"/>
      <c r="F3" s="184"/>
      <c r="G3" s="184"/>
      <c r="H3" s="184"/>
      <c r="I3" s="184"/>
      <c r="J3" s="184"/>
      <c r="K3" s="138"/>
    </row>
    <row r="4" spans="1:12" x14ac:dyDescent="0.25">
      <c r="C4" s="185" t="s">
        <v>71</v>
      </c>
      <c r="D4" s="184" t="s">
        <v>70</v>
      </c>
      <c r="E4" s="184"/>
      <c r="F4" s="184"/>
      <c r="G4" s="184"/>
      <c r="H4" s="184"/>
      <c r="I4" s="184"/>
      <c r="J4" s="184"/>
      <c r="K4" s="138"/>
      <c r="L4" s="138"/>
    </row>
    <row r="5" spans="1:12" x14ac:dyDescent="0.25">
      <c r="C5" s="185"/>
      <c r="D5" s="152">
        <v>1.19</v>
      </c>
      <c r="E5" s="140">
        <v>1.2</v>
      </c>
      <c r="F5" s="140">
        <v>1.2250000000000001</v>
      </c>
      <c r="G5" s="140">
        <v>1.25</v>
      </c>
      <c r="H5" s="140">
        <v>1.2749999999999999</v>
      </c>
      <c r="I5" s="140">
        <v>1.3</v>
      </c>
      <c r="J5" s="140">
        <v>1.32</v>
      </c>
      <c r="K5" s="51"/>
      <c r="L5" s="51"/>
    </row>
    <row r="6" spans="1:12" x14ac:dyDescent="0.25">
      <c r="C6" s="140">
        <v>-40</v>
      </c>
      <c r="D6" s="148">
        <v>0.57850000000000001</v>
      </c>
      <c r="E6" s="147">
        <v>0.625</v>
      </c>
      <c r="F6" s="147">
        <v>0.71799999999999997</v>
      </c>
      <c r="G6" s="147">
        <v>0.86899999999999999</v>
      </c>
      <c r="H6" s="147">
        <v>0.95799999999999996</v>
      </c>
      <c r="I6" s="147">
        <v>1.104123</v>
      </c>
      <c r="J6" s="147">
        <v>1.1687000000000001</v>
      </c>
      <c r="K6" s="2"/>
      <c r="L6" s="2"/>
    </row>
    <row r="7" spans="1:12" x14ac:dyDescent="0.25">
      <c r="C7" s="140">
        <v>-20</v>
      </c>
      <c r="D7" s="148">
        <v>1.086417282127031</v>
      </c>
      <c r="E7" s="147">
        <v>1.1785376692489999</v>
      </c>
      <c r="F7" s="147">
        <v>1.3112318211875</v>
      </c>
      <c r="G7" s="147">
        <v>1.40981237433193</v>
      </c>
      <c r="H7" s="147">
        <v>1.5322134485255601</v>
      </c>
      <c r="I7" s="147">
        <v>1.6620782504731</v>
      </c>
      <c r="J7" s="147">
        <v>1.8166249003186501</v>
      </c>
      <c r="K7" s="2"/>
      <c r="L7" s="2"/>
    </row>
    <row r="8" spans="1:12" x14ac:dyDescent="0.25">
      <c r="C8" s="140">
        <v>0</v>
      </c>
      <c r="D8" s="148">
        <v>1.9619527326440176</v>
      </c>
      <c r="E8" s="147">
        <v>2.1451234447330001</v>
      </c>
      <c r="F8" s="147">
        <v>2.2819992345126998</v>
      </c>
      <c r="G8" s="147">
        <v>2.5182312345928999</v>
      </c>
      <c r="H8" s="147">
        <v>2.8148858612200001</v>
      </c>
      <c r="I8" s="147">
        <v>3.1821599865439998</v>
      </c>
      <c r="J8" s="147">
        <v>3.3787741934410001</v>
      </c>
      <c r="K8" s="2"/>
      <c r="L8" s="2"/>
    </row>
    <row r="9" spans="1:12" x14ac:dyDescent="0.25">
      <c r="C9" s="140">
        <v>25</v>
      </c>
      <c r="D9" s="148">
        <v>4.0609999999999999</v>
      </c>
      <c r="E9" s="147">
        <v>4.2309999999999999</v>
      </c>
      <c r="F9" s="147">
        <v>4.4540251107828652</v>
      </c>
      <c r="G9" s="147">
        <v>5.0999999999999996</v>
      </c>
      <c r="H9" s="147">
        <v>5.4390000000000001</v>
      </c>
      <c r="I9" s="147">
        <v>5.9210000000000003</v>
      </c>
      <c r="J9" s="147">
        <v>6.2785714285714285</v>
      </c>
      <c r="K9" s="2"/>
      <c r="L9" s="2"/>
    </row>
    <row r="10" spans="1:12" x14ac:dyDescent="0.25">
      <c r="C10" s="140">
        <v>40</v>
      </c>
      <c r="D10" s="148">
        <v>6.8981189069423934</v>
      </c>
      <c r="E10" s="147">
        <v>7.307237813884786</v>
      </c>
      <c r="F10" s="147">
        <v>7.384453471196454</v>
      </c>
      <c r="G10" s="147">
        <v>8.3731905465288037</v>
      </c>
      <c r="H10" s="147">
        <v>8.4880723781388472</v>
      </c>
      <c r="I10" s="147">
        <v>9.218</v>
      </c>
      <c r="J10" s="147">
        <v>9.7450643776824037</v>
      </c>
      <c r="K10" s="2"/>
      <c r="L10" s="2"/>
    </row>
    <row r="11" spans="1:12" x14ac:dyDescent="0.25">
      <c r="C11" s="140">
        <v>55</v>
      </c>
      <c r="D11" s="148">
        <v>10.888976366322009</v>
      </c>
      <c r="E11" s="147">
        <v>11.265952732644017</v>
      </c>
      <c r="F11" s="147">
        <v>11.761262924667651</v>
      </c>
      <c r="G11" s="147">
        <v>12.59745199409158</v>
      </c>
      <c r="H11" s="147">
        <v>13.360192023633676</v>
      </c>
      <c r="I11" s="147">
        <v>13.853618906942392</v>
      </c>
      <c r="J11" s="147">
        <v>14.459023354564756</v>
      </c>
      <c r="K11" s="2"/>
      <c r="L11" s="2"/>
    </row>
    <row r="12" spans="1:12" x14ac:dyDescent="0.25">
      <c r="C12" s="140">
        <v>70</v>
      </c>
      <c r="D12" s="148">
        <v>17.570607090103397</v>
      </c>
      <c r="E12" s="147">
        <v>18.040214180206796</v>
      </c>
      <c r="F12" s="147">
        <v>18.382976366322008</v>
      </c>
      <c r="G12" s="147">
        <v>19.754025110782866</v>
      </c>
      <c r="H12" s="147">
        <v>21.352954209748894</v>
      </c>
      <c r="I12" s="147">
        <v>21.961262924667651</v>
      </c>
      <c r="J12" s="147">
        <v>23.426076555023926</v>
      </c>
      <c r="K12" s="2"/>
      <c r="L12" s="2"/>
    </row>
    <row r="13" spans="1:12" x14ac:dyDescent="0.25">
      <c r="C13" s="140">
        <v>85</v>
      </c>
      <c r="D13" s="148">
        <v>26.528286558345641</v>
      </c>
      <c r="E13" s="147">
        <v>27.251477104874446</v>
      </c>
      <c r="F13" s="147">
        <v>28.812740029542095</v>
      </c>
      <c r="G13" s="147">
        <v>30.562333825701618</v>
      </c>
      <c r="H13" s="147">
        <v>32.46635893648449</v>
      </c>
      <c r="I13" s="147">
        <v>33.607644017725256</v>
      </c>
      <c r="J13" s="147">
        <v>35.896578947368425</v>
      </c>
      <c r="K13" s="2"/>
      <c r="L13" s="2"/>
    </row>
    <row r="14" spans="1:12" x14ac:dyDescent="0.25">
      <c r="C14" s="140">
        <v>100</v>
      </c>
      <c r="D14" s="148">
        <v>39.849870753323486</v>
      </c>
      <c r="E14" s="147">
        <v>40.877215657311666</v>
      </c>
      <c r="F14" s="147">
        <v>43.009121122599701</v>
      </c>
      <c r="G14" s="147">
        <v>46.110999999999997</v>
      </c>
      <c r="H14" s="147">
        <v>48.100999999999999</v>
      </c>
      <c r="I14" s="147">
        <v>50.354025110782864</v>
      </c>
      <c r="J14" s="147">
        <v>53.311538461538461</v>
      </c>
      <c r="K14" s="2"/>
      <c r="L14" s="2"/>
    </row>
    <row r="15" spans="1:12" x14ac:dyDescent="0.25">
      <c r="C15" s="140">
        <v>105</v>
      </c>
      <c r="D15" s="148">
        <v>45.697370014771053</v>
      </c>
      <c r="E15" s="147">
        <v>46.6627400295421</v>
      </c>
      <c r="F15" s="147">
        <v>49.099741506646971</v>
      </c>
      <c r="G15" s="147">
        <v>52.921999999999997</v>
      </c>
      <c r="H15" s="147">
        <v>55.226144756277691</v>
      </c>
      <c r="I15" s="147">
        <v>58.233788774002953</v>
      </c>
      <c r="J15" s="147">
        <v>61.792897727272724</v>
      </c>
      <c r="K15" s="2"/>
      <c r="L15" s="2"/>
    </row>
    <row r="16" spans="1:12" x14ac:dyDescent="0.25">
      <c r="C16" s="140">
        <v>115</v>
      </c>
      <c r="D16" s="148">
        <v>60.231037666174295</v>
      </c>
      <c r="E16" s="147">
        <v>61.619977843426881</v>
      </c>
      <c r="F16" s="147">
        <v>64.78016986706055</v>
      </c>
      <c r="G16" s="147">
        <v>68.168242245199409</v>
      </c>
      <c r="H16" s="147">
        <v>71.782311669128504</v>
      </c>
      <c r="I16" s="147">
        <v>75.475480059084191</v>
      </c>
      <c r="J16" s="147">
        <v>79.747647058823532</v>
      </c>
      <c r="K16" s="2"/>
      <c r="L16" s="2"/>
    </row>
    <row r="17" spans="1:12" x14ac:dyDescent="0.25">
      <c r="C17" s="140">
        <v>125</v>
      </c>
      <c r="D17" s="148">
        <v>78.139420236336775</v>
      </c>
      <c r="E17" s="147">
        <v>79.737407680945338</v>
      </c>
      <c r="F17" s="147">
        <v>84.229098966026584</v>
      </c>
      <c r="G17" s="147">
        <v>87.617171344165442</v>
      </c>
      <c r="H17" s="147">
        <v>92.982717872968976</v>
      </c>
      <c r="I17" s="147">
        <v>97.854837518463796</v>
      </c>
      <c r="J17" s="147">
        <v>101.99406249999998</v>
      </c>
      <c r="K17" s="2"/>
      <c r="L17" s="2"/>
    </row>
    <row r="18" spans="1:12" x14ac:dyDescent="0.25">
      <c r="C18" s="51"/>
      <c r="D18" s="2"/>
      <c r="E18" s="2"/>
      <c r="F18" s="2"/>
      <c r="G18" s="2"/>
      <c r="H18" s="2"/>
      <c r="I18" s="2"/>
      <c r="J18" s="2"/>
      <c r="K18" s="51"/>
      <c r="L18" s="47"/>
    </row>
    <row r="19" spans="1:12" x14ac:dyDescent="0.25">
      <c r="A19" s="186" t="s">
        <v>178</v>
      </c>
      <c r="B19" s="156"/>
      <c r="C19" s="156"/>
      <c r="D19" s="156"/>
      <c r="E19" s="156"/>
      <c r="F19" s="156"/>
      <c r="G19" s="156"/>
      <c r="H19" s="156"/>
    </row>
    <row r="20" spans="1:12" x14ac:dyDescent="0.25">
      <c r="A20" s="156"/>
      <c r="B20" s="156"/>
      <c r="C20" s="156"/>
      <c r="D20" s="156"/>
      <c r="E20" s="156"/>
      <c r="F20" s="156"/>
      <c r="G20" s="156"/>
      <c r="H20" s="156"/>
    </row>
    <row r="21" spans="1:12" x14ac:dyDescent="0.25">
      <c r="A21" s="156"/>
      <c r="B21" s="156"/>
      <c r="C21" s="156"/>
      <c r="D21" s="156"/>
      <c r="E21" s="156"/>
      <c r="F21" s="156"/>
      <c r="G21" s="156"/>
      <c r="H21" s="156"/>
    </row>
    <row r="22" spans="1:12" ht="18.75" customHeight="1" x14ac:dyDescent="0.25">
      <c r="A22" s="156"/>
      <c r="B22" s="156"/>
      <c r="C22" s="156"/>
      <c r="D22" s="156"/>
      <c r="E22" s="156"/>
      <c r="F22" s="156"/>
      <c r="G22" s="156"/>
      <c r="H22" s="156"/>
    </row>
  </sheetData>
  <mergeCells count="4">
    <mergeCell ref="C3:J3"/>
    <mergeCell ref="C4:C5"/>
    <mergeCell ref="D4:J4"/>
    <mergeCell ref="A19:H2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20"/>
  <sheetViews>
    <sheetView showGridLines="0" workbookViewId="0">
      <selection activeCell="M15" sqref="M15"/>
    </sheetView>
  </sheetViews>
  <sheetFormatPr defaultRowHeight="15" x14ac:dyDescent="0.25"/>
  <sheetData>
    <row r="1" spans="1:12" ht="23.25" x14ac:dyDescent="0.35">
      <c r="A1" s="139" t="s">
        <v>173</v>
      </c>
    </row>
    <row r="3" spans="1:12" x14ac:dyDescent="0.25">
      <c r="C3" s="184" t="s">
        <v>0</v>
      </c>
      <c r="D3" s="184"/>
      <c r="E3" s="184"/>
      <c r="F3" s="184"/>
      <c r="G3" s="184"/>
      <c r="H3" s="184"/>
      <c r="I3" s="184"/>
      <c r="J3" s="184"/>
      <c r="K3" s="50"/>
    </row>
    <row r="4" spans="1:12" x14ac:dyDescent="0.25">
      <c r="C4" s="185" t="s">
        <v>71</v>
      </c>
      <c r="D4" s="184" t="s">
        <v>70</v>
      </c>
      <c r="E4" s="184"/>
      <c r="F4" s="184"/>
      <c r="G4" s="184"/>
      <c r="H4" s="184"/>
      <c r="I4" s="184"/>
      <c r="J4" s="184"/>
      <c r="K4" s="50"/>
      <c r="L4" s="50"/>
    </row>
    <row r="5" spans="1:12" x14ac:dyDescent="0.25">
      <c r="C5" s="185"/>
      <c r="D5" s="140">
        <v>1.19</v>
      </c>
      <c r="E5" s="140">
        <v>1.2</v>
      </c>
      <c r="F5" s="140">
        <v>1.2250000000000001</v>
      </c>
      <c r="G5" s="140">
        <v>1.25</v>
      </c>
      <c r="H5" s="140">
        <v>1.2749999999999999</v>
      </c>
      <c r="I5" s="140">
        <v>1.3</v>
      </c>
      <c r="J5" s="140">
        <v>1.32</v>
      </c>
      <c r="K5" s="51"/>
      <c r="L5" s="51"/>
    </row>
    <row r="6" spans="1:12" x14ac:dyDescent="0.25">
      <c r="C6" s="140">
        <v>-40</v>
      </c>
      <c r="D6" s="153">
        <v>1.6980000000000002</v>
      </c>
      <c r="E6" s="141">
        <v>1.8</v>
      </c>
      <c r="F6" s="141">
        <v>2.2000000000000002</v>
      </c>
      <c r="G6" s="141">
        <v>2.5</v>
      </c>
      <c r="H6" s="141">
        <v>2.7</v>
      </c>
      <c r="I6" s="141">
        <v>3.1</v>
      </c>
      <c r="J6" s="141">
        <v>3.4</v>
      </c>
      <c r="K6" s="2"/>
      <c r="L6" s="2"/>
    </row>
    <row r="7" spans="1:12" x14ac:dyDescent="0.25">
      <c r="C7" s="140">
        <v>-20</v>
      </c>
      <c r="D7" s="153">
        <v>4.0110000000000001</v>
      </c>
      <c r="E7" s="141">
        <v>4.2</v>
      </c>
      <c r="F7" s="141">
        <v>4.5999999999999996</v>
      </c>
      <c r="G7" s="141">
        <v>5.0999999999999996</v>
      </c>
      <c r="H7" s="141">
        <v>5.6</v>
      </c>
      <c r="I7" s="141">
        <v>6.2</v>
      </c>
      <c r="J7" s="141">
        <v>6.8</v>
      </c>
      <c r="K7" s="2"/>
      <c r="L7" s="2"/>
    </row>
    <row r="8" spans="1:12" x14ac:dyDescent="0.25">
      <c r="C8" s="140">
        <v>0</v>
      </c>
      <c r="D8" s="153">
        <v>8.4</v>
      </c>
      <c r="E8" s="141">
        <v>9</v>
      </c>
      <c r="F8" s="141">
        <v>9.6</v>
      </c>
      <c r="G8" s="141">
        <v>10.6</v>
      </c>
      <c r="H8" s="141">
        <v>11.5</v>
      </c>
      <c r="I8" s="141">
        <v>12.5</v>
      </c>
      <c r="J8" s="141">
        <v>13.4</v>
      </c>
      <c r="K8" s="2"/>
      <c r="L8" s="2"/>
    </row>
    <row r="9" spans="1:12" x14ac:dyDescent="0.25">
      <c r="C9" s="140">
        <v>25</v>
      </c>
      <c r="D9" s="153">
        <v>19</v>
      </c>
      <c r="E9" s="141">
        <v>19.8</v>
      </c>
      <c r="F9" s="141">
        <v>21.5</v>
      </c>
      <c r="G9" s="141">
        <v>23.2</v>
      </c>
      <c r="H9" s="141">
        <v>25.3</v>
      </c>
      <c r="I9" s="141">
        <v>27.2</v>
      </c>
      <c r="J9" s="141">
        <v>29</v>
      </c>
      <c r="K9" s="2"/>
      <c r="L9" s="2"/>
    </row>
    <row r="10" spans="1:12" x14ac:dyDescent="0.25">
      <c r="C10" s="140">
        <v>40</v>
      </c>
      <c r="D10" s="153">
        <v>29.9</v>
      </c>
      <c r="E10" s="141">
        <v>31.7</v>
      </c>
      <c r="F10" s="141">
        <v>34.4</v>
      </c>
      <c r="G10" s="141">
        <v>36.799999999999997</v>
      </c>
      <c r="H10" s="141">
        <v>40</v>
      </c>
      <c r="I10" s="141">
        <v>42.8</v>
      </c>
      <c r="J10" s="141">
        <v>45.4</v>
      </c>
      <c r="K10" s="2"/>
      <c r="L10" s="2"/>
    </row>
    <row r="11" spans="1:12" x14ac:dyDescent="0.25">
      <c r="C11" s="140">
        <v>55</v>
      </c>
      <c r="D11" s="153">
        <v>46.6</v>
      </c>
      <c r="E11" s="141">
        <v>48.9</v>
      </c>
      <c r="F11" s="141">
        <v>52.4</v>
      </c>
      <c r="G11" s="141">
        <v>56.4</v>
      </c>
      <c r="H11" s="141">
        <v>60.6</v>
      </c>
      <c r="I11" s="141">
        <v>65</v>
      </c>
      <c r="J11" s="141">
        <v>68.099999999999994</v>
      </c>
      <c r="K11" s="2"/>
      <c r="L11" s="2"/>
    </row>
    <row r="12" spans="1:12" x14ac:dyDescent="0.25">
      <c r="C12" s="140">
        <v>70</v>
      </c>
      <c r="D12" s="153">
        <v>66.400000000000006</v>
      </c>
      <c r="E12" s="141">
        <v>70.400000000000006</v>
      </c>
      <c r="F12" s="141">
        <v>75.5</v>
      </c>
      <c r="G12" s="141">
        <v>80.599999999999994</v>
      </c>
      <c r="H12" s="141">
        <v>86.2</v>
      </c>
      <c r="I12" s="141">
        <v>92.4</v>
      </c>
      <c r="J12" s="141">
        <v>97.9</v>
      </c>
      <c r="K12" s="2"/>
      <c r="L12" s="2"/>
    </row>
    <row r="13" spans="1:12" x14ac:dyDescent="0.25">
      <c r="C13" s="140">
        <v>85</v>
      </c>
      <c r="D13" s="153">
        <v>93.9</v>
      </c>
      <c r="E13" s="141">
        <v>99.3</v>
      </c>
      <c r="F13" s="141">
        <v>105.9</v>
      </c>
      <c r="G13" s="141">
        <v>113</v>
      </c>
      <c r="H13" s="141">
        <v>120.7</v>
      </c>
      <c r="I13" s="141">
        <v>128.9</v>
      </c>
      <c r="J13" s="141">
        <v>136.4</v>
      </c>
      <c r="K13" s="2"/>
      <c r="L13" s="2"/>
    </row>
    <row r="14" spans="1:12" x14ac:dyDescent="0.25">
      <c r="C14" s="140">
        <v>100</v>
      </c>
      <c r="D14" s="153">
        <v>137.19999999999999</v>
      </c>
      <c r="E14" s="141">
        <v>144.19999999999999</v>
      </c>
      <c r="F14" s="141">
        <v>153.6</v>
      </c>
      <c r="G14" s="141">
        <v>163.4</v>
      </c>
      <c r="H14" s="141">
        <v>173.9</v>
      </c>
      <c r="I14" s="141">
        <v>185.1</v>
      </c>
      <c r="J14" s="141">
        <v>194.1</v>
      </c>
      <c r="K14" s="2"/>
      <c r="L14" s="2"/>
    </row>
    <row r="15" spans="1:12" x14ac:dyDescent="0.25">
      <c r="C15" s="140">
        <v>105</v>
      </c>
      <c r="D15" s="153">
        <v>153.80000000000001</v>
      </c>
      <c r="E15" s="141">
        <v>162.4</v>
      </c>
      <c r="F15" s="141">
        <v>172.5</v>
      </c>
      <c r="G15" s="141">
        <v>183.4</v>
      </c>
      <c r="H15" s="141">
        <v>195.2</v>
      </c>
      <c r="I15" s="141">
        <v>207.5</v>
      </c>
      <c r="J15" s="141">
        <v>217.5</v>
      </c>
      <c r="K15" s="2"/>
      <c r="L15" s="2"/>
    </row>
    <row r="16" spans="1:12" x14ac:dyDescent="0.25">
      <c r="C16" s="140">
        <v>115</v>
      </c>
      <c r="D16" s="153">
        <v>193.3</v>
      </c>
      <c r="E16" s="141">
        <v>203.7</v>
      </c>
      <c r="F16" s="141">
        <v>216.2</v>
      </c>
      <c r="G16" s="141">
        <v>229.5</v>
      </c>
      <c r="H16" s="141">
        <v>243.9</v>
      </c>
      <c r="I16" s="141">
        <v>258.60000000000002</v>
      </c>
      <c r="J16" s="141">
        <v>271.10000000000002</v>
      </c>
      <c r="K16" s="2"/>
      <c r="L16" s="2"/>
    </row>
    <row r="17" spans="3:12" x14ac:dyDescent="0.25">
      <c r="C17" s="140">
        <v>125</v>
      </c>
      <c r="D17" s="153">
        <v>236.1</v>
      </c>
      <c r="E17" s="141">
        <v>247.2</v>
      </c>
      <c r="F17" s="141">
        <v>261.8</v>
      </c>
      <c r="G17" s="141">
        <v>277.3</v>
      </c>
      <c r="H17" s="141">
        <v>294</v>
      </c>
      <c r="I17" s="141">
        <v>311.89999999999998</v>
      </c>
      <c r="J17" s="141">
        <v>326.39999999999998</v>
      </c>
      <c r="K17" s="2"/>
      <c r="L17" s="2"/>
    </row>
    <row r="18" spans="3:12" x14ac:dyDescent="0.25">
      <c r="C18" s="51"/>
      <c r="D18" s="2"/>
      <c r="E18" s="2"/>
      <c r="F18" s="2"/>
      <c r="G18" s="2"/>
      <c r="H18" s="2"/>
      <c r="I18" s="2"/>
      <c r="J18" s="2"/>
      <c r="K18" s="51"/>
      <c r="L18" s="47"/>
    </row>
    <row r="20" spans="3:12" x14ac:dyDescent="0.25">
      <c r="C20" s="46"/>
    </row>
  </sheetData>
  <mergeCells count="3">
    <mergeCell ref="C4:C5"/>
    <mergeCell ref="C3:J3"/>
    <mergeCell ref="D4:J4"/>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14"/>
  <sheetViews>
    <sheetView showGridLines="0" workbookViewId="0">
      <selection activeCell="F24" sqref="F24"/>
    </sheetView>
  </sheetViews>
  <sheetFormatPr defaultRowHeight="15" x14ac:dyDescent="0.25"/>
  <sheetData>
    <row r="1" spans="1:12" ht="23.25" x14ac:dyDescent="0.35">
      <c r="A1" s="139" t="s">
        <v>173</v>
      </c>
    </row>
    <row r="3" spans="1:12" x14ac:dyDescent="0.25">
      <c r="C3" s="184" t="s">
        <v>80</v>
      </c>
      <c r="D3" s="184"/>
      <c r="E3" s="184"/>
      <c r="F3" s="184"/>
      <c r="G3" s="184"/>
      <c r="H3" s="184"/>
      <c r="I3" s="184"/>
      <c r="J3" s="184"/>
      <c r="K3" s="184"/>
    </row>
    <row r="4" spans="1:12" ht="15" customHeight="1" x14ac:dyDescent="0.25">
      <c r="C4" s="187" t="s">
        <v>72</v>
      </c>
      <c r="D4" s="187" t="s">
        <v>70</v>
      </c>
      <c r="E4" s="187"/>
      <c r="F4" s="187"/>
      <c r="G4" s="187"/>
      <c r="H4" s="187"/>
      <c r="I4" s="187"/>
      <c r="J4" s="187"/>
      <c r="K4" s="140"/>
    </row>
    <row r="5" spans="1:12" x14ac:dyDescent="0.25">
      <c r="C5" s="187"/>
      <c r="D5" s="154">
        <v>1.19</v>
      </c>
      <c r="E5" s="142">
        <v>1.2</v>
      </c>
      <c r="F5" s="142">
        <v>1.2250000000000001</v>
      </c>
      <c r="G5" s="142">
        <v>1.25</v>
      </c>
      <c r="H5" s="142">
        <v>1.2749999999999999</v>
      </c>
      <c r="I5" s="142">
        <v>1.3</v>
      </c>
      <c r="J5" s="142">
        <v>1.32</v>
      </c>
      <c r="K5" s="140"/>
      <c r="L5" s="51"/>
    </row>
    <row r="6" spans="1:12" x14ac:dyDescent="0.25">
      <c r="C6" s="140">
        <v>500</v>
      </c>
      <c r="D6" s="153">
        <v>97.883925000000005</v>
      </c>
      <c r="E6" s="142">
        <v>98.8</v>
      </c>
      <c r="F6" s="142">
        <v>101.5</v>
      </c>
      <c r="G6" s="142">
        <v>103.9</v>
      </c>
      <c r="H6" s="142">
        <v>106.7</v>
      </c>
      <c r="I6" s="142">
        <v>109.3</v>
      </c>
      <c r="J6" s="142">
        <v>110.8</v>
      </c>
      <c r="K6" s="141"/>
      <c r="L6" s="2"/>
    </row>
    <row r="7" spans="1:12" x14ac:dyDescent="0.25">
      <c r="C7" s="140">
        <v>450</v>
      </c>
      <c r="D7" s="153">
        <v>88.629671774193554</v>
      </c>
      <c r="E7" s="143">
        <v>89.5</v>
      </c>
      <c r="F7" s="143">
        <v>91.9</v>
      </c>
      <c r="G7" s="143">
        <v>94.1</v>
      </c>
      <c r="H7" s="143">
        <v>96.7</v>
      </c>
      <c r="I7" s="143">
        <v>98.9</v>
      </c>
      <c r="J7" s="143">
        <v>100.6</v>
      </c>
      <c r="K7" s="141"/>
      <c r="L7" s="2"/>
    </row>
    <row r="8" spans="1:12" x14ac:dyDescent="0.25">
      <c r="C8" s="140">
        <v>400</v>
      </c>
      <c r="D8" s="153">
        <v>79.288905645161293</v>
      </c>
      <c r="E8" s="143">
        <v>80.099999999999994</v>
      </c>
      <c r="F8" s="143">
        <v>82.2</v>
      </c>
      <c r="G8" s="143">
        <v>84.3</v>
      </c>
      <c r="H8" s="143">
        <v>86.5</v>
      </c>
      <c r="I8" s="143">
        <v>88.6</v>
      </c>
      <c r="J8" s="143">
        <v>90.1</v>
      </c>
      <c r="K8" s="141"/>
      <c r="L8" s="2"/>
    </row>
    <row r="9" spans="1:12" x14ac:dyDescent="0.25">
      <c r="C9" s="140">
        <v>350</v>
      </c>
      <c r="D9" s="153">
        <v>69.975459274193568</v>
      </c>
      <c r="E9" s="143">
        <v>70.7</v>
      </c>
      <c r="F9" s="143">
        <v>72.5</v>
      </c>
      <c r="G9" s="143">
        <v>74.400000000000006</v>
      </c>
      <c r="H9" s="143">
        <v>76.3</v>
      </c>
      <c r="I9" s="143">
        <v>78.3</v>
      </c>
      <c r="J9" s="143">
        <v>79.400000000000006</v>
      </c>
      <c r="K9" s="141"/>
      <c r="L9" s="2"/>
    </row>
    <row r="10" spans="1:12" x14ac:dyDescent="0.25">
      <c r="C10" s="140">
        <v>300</v>
      </c>
      <c r="D10" s="153">
        <v>60.623948790322601</v>
      </c>
      <c r="E10" s="143">
        <v>61.2</v>
      </c>
      <c r="F10" s="143">
        <v>63</v>
      </c>
      <c r="G10" s="143">
        <v>64.599999999999994</v>
      </c>
      <c r="H10" s="143">
        <v>66.3</v>
      </c>
      <c r="I10" s="143">
        <v>68</v>
      </c>
      <c r="J10" s="143">
        <v>69.099999999999994</v>
      </c>
      <c r="K10" s="141"/>
      <c r="L10" s="2"/>
    </row>
    <row r="11" spans="1:12" x14ac:dyDescent="0.25">
      <c r="C11" s="140">
        <v>250</v>
      </c>
      <c r="D11" s="153">
        <v>51.282555241935484</v>
      </c>
      <c r="E11" s="143">
        <v>51.8</v>
      </c>
      <c r="F11" s="143">
        <v>53.2</v>
      </c>
      <c r="G11" s="143">
        <v>54.7</v>
      </c>
      <c r="H11" s="143">
        <v>56.3</v>
      </c>
      <c r="I11" s="143">
        <v>57.6</v>
      </c>
      <c r="J11" s="143">
        <v>58.5</v>
      </c>
      <c r="K11" s="141"/>
      <c r="L11" s="2"/>
    </row>
    <row r="12" spans="1:12" x14ac:dyDescent="0.25">
      <c r="C12" s="140">
        <v>200</v>
      </c>
      <c r="D12" s="153">
        <v>41.952318548387105</v>
      </c>
      <c r="E12" s="143">
        <v>42.4</v>
      </c>
      <c r="F12" s="143">
        <v>43.6</v>
      </c>
      <c r="G12" s="143">
        <v>44.8</v>
      </c>
      <c r="H12" s="143">
        <v>46</v>
      </c>
      <c r="I12" s="143">
        <v>47.2</v>
      </c>
      <c r="J12" s="143">
        <v>48.2</v>
      </c>
      <c r="K12" s="141"/>
      <c r="L12" s="2"/>
    </row>
    <row r="13" spans="1:12" x14ac:dyDescent="0.25">
      <c r="C13" s="144">
        <v>150</v>
      </c>
      <c r="D13" s="153">
        <v>32.542851209677423</v>
      </c>
      <c r="E13" s="143">
        <v>32.9</v>
      </c>
      <c r="F13" s="143">
        <v>34</v>
      </c>
      <c r="G13" s="143">
        <v>34.799999999999997</v>
      </c>
      <c r="H13" s="143">
        <v>35.9</v>
      </c>
      <c r="I13" s="143">
        <v>37</v>
      </c>
      <c r="J13" s="143">
        <v>37.4</v>
      </c>
      <c r="K13" s="145"/>
    </row>
    <row r="14" spans="1:12" x14ac:dyDescent="0.25">
      <c r="C14" s="144">
        <v>100</v>
      </c>
      <c r="D14" s="153">
        <v>23.235032258064521</v>
      </c>
      <c r="E14" s="143">
        <v>23.5</v>
      </c>
      <c r="F14" s="143">
        <v>24.2</v>
      </c>
      <c r="G14" s="143">
        <v>25</v>
      </c>
      <c r="H14" s="143">
        <v>25.7</v>
      </c>
      <c r="I14" s="143">
        <v>26.5</v>
      </c>
      <c r="J14" s="143">
        <v>26.9</v>
      </c>
      <c r="K14" s="145"/>
    </row>
  </sheetData>
  <dataConsolidate/>
  <mergeCells count="3">
    <mergeCell ref="C3:K3"/>
    <mergeCell ref="C4:C5"/>
    <mergeCell ref="D4:J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20"/>
  <sheetViews>
    <sheetView workbookViewId="0">
      <selection activeCell="K33" sqref="K33"/>
    </sheetView>
  </sheetViews>
  <sheetFormatPr defaultRowHeight="15" x14ac:dyDescent="0.25"/>
  <cols>
    <col min="3" max="3" width="18.42578125" customWidth="1"/>
    <col min="4" max="4" width="22.140625" bestFit="1" customWidth="1"/>
  </cols>
  <sheetData>
    <row r="1" spans="1:4" ht="23.25" x14ac:dyDescent="0.35">
      <c r="A1" s="139" t="s">
        <v>173</v>
      </c>
    </row>
    <row r="3" spans="1:4" x14ac:dyDescent="0.25">
      <c r="C3" s="3" t="s">
        <v>1</v>
      </c>
      <c r="D3" s="3" t="s">
        <v>2</v>
      </c>
    </row>
    <row r="4" spans="1:4" x14ac:dyDescent="0.25">
      <c r="C4" s="2" t="s">
        <v>3</v>
      </c>
      <c r="D4" s="146">
        <v>1.34</v>
      </c>
    </row>
    <row r="5" spans="1:4" x14ac:dyDescent="0.25">
      <c r="C5" s="2" t="s">
        <v>4</v>
      </c>
      <c r="D5" s="146">
        <v>1.25</v>
      </c>
    </row>
    <row r="6" spans="1:4" x14ac:dyDescent="0.25">
      <c r="C6" s="2" t="s">
        <v>5</v>
      </c>
      <c r="D6" s="146">
        <v>1</v>
      </c>
    </row>
    <row r="7" spans="1:4" x14ac:dyDescent="0.25">
      <c r="C7" s="2" t="s">
        <v>6</v>
      </c>
      <c r="D7" s="146">
        <v>0.86</v>
      </c>
    </row>
    <row r="8" spans="1:4" x14ac:dyDescent="0.25">
      <c r="C8" s="2" t="s">
        <v>7</v>
      </c>
      <c r="D8" s="146">
        <v>0.72</v>
      </c>
    </row>
    <row r="9" spans="1:4" x14ac:dyDescent="0.25">
      <c r="C9" s="2" t="s">
        <v>8</v>
      </c>
      <c r="D9" s="146">
        <v>0.14000000000000001</v>
      </c>
    </row>
    <row r="10" spans="1:4" x14ac:dyDescent="0.25">
      <c r="C10" s="2" t="s">
        <v>166</v>
      </c>
      <c r="D10" s="146">
        <v>0</v>
      </c>
    </row>
    <row r="13" spans="1:4" x14ac:dyDescent="0.25">
      <c r="C13" s="4" t="s">
        <v>9</v>
      </c>
    </row>
    <row r="14" spans="1:4" x14ac:dyDescent="0.25">
      <c r="C14" t="s">
        <v>15</v>
      </c>
    </row>
    <row r="15" spans="1:4" x14ac:dyDescent="0.25">
      <c r="C15" t="s">
        <v>14</v>
      </c>
    </row>
    <row r="16" spans="1:4" x14ac:dyDescent="0.25">
      <c r="C16" t="s">
        <v>13</v>
      </c>
    </row>
    <row r="17" spans="3:3" x14ac:dyDescent="0.25">
      <c r="C17" s="6" t="s">
        <v>12</v>
      </c>
    </row>
    <row r="18" spans="3:3" x14ac:dyDescent="0.25">
      <c r="C18" s="6" t="s">
        <v>11</v>
      </c>
    </row>
    <row r="19" spans="3:3" x14ac:dyDescent="0.25">
      <c r="C19" s="6" t="s">
        <v>10</v>
      </c>
    </row>
    <row r="20" spans="3:3" x14ac:dyDescent="0.25">
      <c r="C20" s="6" t="s">
        <v>167</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9"/>
  <sheetViews>
    <sheetView workbookViewId="0">
      <selection activeCell="K35" sqref="K35"/>
    </sheetView>
  </sheetViews>
  <sheetFormatPr defaultRowHeight="15" x14ac:dyDescent="0.25"/>
  <cols>
    <col min="2" max="2" width="10.7109375" bestFit="1" customWidth="1"/>
    <col min="3" max="3" width="50.7109375" bestFit="1" customWidth="1"/>
    <col min="4" max="4" width="9.7109375" bestFit="1" customWidth="1"/>
    <col min="5" max="5" width="10.42578125" bestFit="1" customWidth="1"/>
  </cols>
  <sheetData>
    <row r="1" spans="1:6" ht="23.25" x14ac:dyDescent="0.35">
      <c r="A1" s="139" t="s">
        <v>173</v>
      </c>
    </row>
    <row r="2" spans="1:6" x14ac:dyDescent="0.25">
      <c r="B2" s="62" t="s">
        <v>90</v>
      </c>
      <c r="C2" s="1" t="s">
        <v>91</v>
      </c>
      <c r="D2" s="1" t="s">
        <v>92</v>
      </c>
      <c r="E2" s="62" t="s">
        <v>93</v>
      </c>
      <c r="F2" s="62" t="s">
        <v>94</v>
      </c>
    </row>
    <row r="3" spans="1:6" x14ac:dyDescent="0.25">
      <c r="B3" s="62" t="s">
        <v>95</v>
      </c>
      <c r="C3" s="62" t="s">
        <v>85</v>
      </c>
      <c r="D3" s="62"/>
      <c r="E3" s="62">
        <v>500</v>
      </c>
      <c r="F3" s="62" t="s">
        <v>96</v>
      </c>
    </row>
    <row r="4" spans="1:6" x14ac:dyDescent="0.25">
      <c r="B4" s="62" t="s">
        <v>97</v>
      </c>
      <c r="C4" t="s">
        <v>86</v>
      </c>
      <c r="E4" s="62">
        <v>250</v>
      </c>
      <c r="F4" s="62" t="s">
        <v>96</v>
      </c>
    </row>
    <row r="5" spans="1:6" x14ac:dyDescent="0.25">
      <c r="B5" t="s">
        <v>98</v>
      </c>
      <c r="C5" t="s">
        <v>87</v>
      </c>
      <c r="E5" s="62">
        <v>125</v>
      </c>
      <c r="F5" s="62" t="s">
        <v>96</v>
      </c>
    </row>
    <row r="6" spans="1:6" x14ac:dyDescent="0.25">
      <c r="B6" t="s">
        <v>99</v>
      </c>
      <c r="C6" t="s">
        <v>88</v>
      </c>
      <c r="E6" s="62">
        <v>125</v>
      </c>
      <c r="F6" s="62" t="s">
        <v>96</v>
      </c>
    </row>
    <row r="7" spans="1:6" x14ac:dyDescent="0.25">
      <c r="B7" s="62" t="s">
        <v>100</v>
      </c>
      <c r="C7" t="s">
        <v>89</v>
      </c>
      <c r="D7" s="62"/>
      <c r="E7" s="62">
        <v>250</v>
      </c>
      <c r="F7" s="62" t="s">
        <v>96</v>
      </c>
    </row>
    <row r="8" spans="1:6" x14ac:dyDescent="0.25">
      <c r="B8" s="62" t="s">
        <v>101</v>
      </c>
      <c r="C8" s="62" t="s">
        <v>102</v>
      </c>
      <c r="D8" s="62"/>
      <c r="E8" s="62">
        <v>125</v>
      </c>
      <c r="F8" s="62" t="s">
        <v>96</v>
      </c>
    </row>
    <row r="9" spans="1:6" x14ac:dyDescent="0.25">
      <c r="B9" s="62" t="s">
        <v>103</v>
      </c>
      <c r="C9" s="62" t="s">
        <v>104</v>
      </c>
      <c r="D9" s="62">
        <v>250</v>
      </c>
      <c r="E9" s="62">
        <v>1000</v>
      </c>
      <c r="F9" s="6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26</vt:i4>
      </vt:variant>
    </vt:vector>
  </HeadingPairs>
  <TitlesOfParts>
    <vt:vector size="36" baseType="lpstr">
      <vt:lpstr>Power Estimation</vt:lpstr>
      <vt:lpstr>VDD_EXT Power Domain</vt:lpstr>
      <vt:lpstr>VDD_DMC Power Domain</vt:lpstr>
      <vt:lpstr>DMA Data Rate</vt:lpstr>
      <vt:lpstr>Typical Static Current</vt:lpstr>
      <vt:lpstr>Maximum Static Current</vt:lpstr>
      <vt:lpstr>Dynamic Current</vt:lpstr>
      <vt:lpstr>Dynamic Scaling Factors</vt:lpstr>
      <vt:lpstr>ClockSpecs</vt:lpstr>
      <vt:lpstr>Supporting Tables</vt:lpstr>
      <vt:lpstr>ActivityFactor</vt:lpstr>
      <vt:lpstr>ActivityScalingFactor</vt:lpstr>
      <vt:lpstr>CHOICE</vt:lpstr>
      <vt:lpstr>DDR_BURST</vt:lpstr>
      <vt:lpstr>DDR2_Freq</vt:lpstr>
      <vt:lpstr>Freq</vt:lpstr>
      <vt:lpstr>IDD_BASELINE_DYN</vt:lpstr>
      <vt:lpstr>IDD_DEEPSLEEP_MAX</vt:lpstr>
      <vt:lpstr>IDD_DEEPSLEEP_TYP</vt:lpstr>
      <vt:lpstr>Power_Profile</vt:lpstr>
      <vt:lpstr>PowerModes</vt:lpstr>
      <vt:lpstr>ProcessorFamily</vt:lpstr>
      <vt:lpstr>PVP_USED</vt:lpstr>
      <vt:lpstr>SCLK0</vt:lpstr>
      <vt:lpstr>SCLK1</vt:lpstr>
      <vt:lpstr>SYSCLK</vt:lpstr>
      <vt:lpstr>Tj_MAX</vt:lpstr>
      <vt:lpstr>Tj_TYP</vt:lpstr>
      <vt:lpstr>USB_USED</vt:lpstr>
      <vt:lpstr>VDDDMC_BF60x</vt:lpstr>
      <vt:lpstr>VDDEXT_BF60x</vt:lpstr>
      <vt:lpstr>VDDEXT_CALC</vt:lpstr>
      <vt:lpstr>Vddint_MAX</vt:lpstr>
      <vt:lpstr>Vddint_TYP</vt:lpstr>
      <vt:lpstr>VDDTD_BF60x</vt:lpstr>
      <vt:lpstr>VDDUSB_BF60x</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Estimating Power for BF60x Processors</dc:title>
  <dc:creator/>
  <cp:lastModifiedBy/>
  <dcterms:created xsi:type="dcterms:W3CDTF">2006-09-16T00:00:00Z</dcterms:created>
  <dcterms:modified xsi:type="dcterms:W3CDTF">2013-11-07T22:00:41Z</dcterms:modified>
</cp:coreProperties>
</file>